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Jagd\"/>
    </mc:Choice>
  </mc:AlternateContent>
  <xr:revisionPtr revIDLastSave="0" documentId="13_ncr:1_{6EB52C0F-8C85-439D-9B94-9CC57A554E48}" xr6:coauthVersionLast="47" xr6:coauthVersionMax="47" xr10:uidLastSave="{00000000-0000-0000-0000-000000000000}"/>
  <bookViews>
    <workbookView xWindow="28680" yWindow="-120" windowWidth="29040" windowHeight="16440" tabRatio="841" activeTab="5" xr2:uid="{00000000-000D-0000-FFFF-FFFF00000000}"/>
  </bookViews>
  <sheets>
    <sheet name="Info" sheetId="10" r:id="rId1"/>
    <sheet name="E" sheetId="11" r:id="rId2"/>
    <sheet name="Revier" sheetId="14" r:id="rId3"/>
    <sheet name="Adressen" sheetId="7" r:id="rId4"/>
    <sheet name="Kosten" sheetId="13" r:id="rId5"/>
    <sheet name="Schussbuch" sheetId="19" r:id="rId6"/>
    <sheet name="Streckendia" sheetId="18" r:id="rId7"/>
    <sheet name="Jagdstrecke I" sheetId="4" r:id="rId8"/>
    <sheet name="Strecke II" sheetId="17" r:id="rId9"/>
    <sheet name="Notizen" sheetId="6" r:id="rId10"/>
    <sheet name="Ansitze" sheetId="1" r:id="rId11"/>
    <sheet name="Jagdreisen" sheetId="12" r:id="rId12"/>
    <sheet name="Drückjagden" sheetId="2" r:id="rId13"/>
    <sheet name="Wildarten" sheetId="5" r:id="rId14"/>
    <sheet name="Wildarten 2" sheetId="9" r:id="rId15"/>
  </sheets>
  <definedNames>
    <definedName name="_xlnm._FilterDatabase" localSheetId="4" hidden="1">Kosten!$B$3:$C$3</definedName>
    <definedName name="_xlnm._FilterDatabase" localSheetId="5" hidden="1">Schussbuch!$A$2:$G$2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28" i="17" l="1"/>
  <c r="T28" i="17"/>
  <c r="S28" i="17"/>
  <c r="R28" i="17"/>
  <c r="Q28" i="17"/>
  <c r="P28" i="17"/>
  <c r="O28" i="17"/>
  <c r="N28" i="17"/>
  <c r="M28" i="17"/>
  <c r="L28" i="17"/>
  <c r="K28" i="17"/>
  <c r="J28" i="17"/>
  <c r="I28" i="17"/>
  <c r="H28" i="17"/>
  <c r="G28" i="17"/>
  <c r="F28" i="17"/>
  <c r="E28" i="17"/>
  <c r="D28" i="17"/>
  <c r="C28" i="17"/>
  <c r="B28" i="17"/>
  <c r="U27" i="17"/>
  <c r="T27" i="17"/>
  <c r="S27" i="17"/>
  <c r="R27" i="17"/>
  <c r="Q27" i="17"/>
  <c r="P27" i="17"/>
  <c r="O27" i="17"/>
  <c r="N27" i="17"/>
  <c r="M27" i="17"/>
  <c r="L27" i="17"/>
  <c r="K27" i="17"/>
  <c r="J27" i="17"/>
  <c r="I27" i="17"/>
  <c r="H27" i="17"/>
  <c r="G27" i="17"/>
  <c r="F27" i="17"/>
  <c r="E27" i="17"/>
  <c r="D27" i="17"/>
  <c r="C27" i="17"/>
  <c r="B27" i="17"/>
  <c r="U26" i="17"/>
  <c r="T26" i="17"/>
  <c r="S26" i="17"/>
  <c r="R26" i="17"/>
  <c r="Q26" i="17"/>
  <c r="P26" i="17"/>
  <c r="O26" i="17"/>
  <c r="N26" i="17"/>
  <c r="M26" i="17"/>
  <c r="L26" i="17"/>
  <c r="K26" i="17"/>
  <c r="J26" i="17"/>
  <c r="I26" i="17"/>
  <c r="H26" i="17"/>
  <c r="G26" i="17"/>
  <c r="F26" i="17"/>
  <c r="E26" i="17"/>
  <c r="D26" i="17"/>
  <c r="C26" i="17"/>
  <c r="B26" i="17"/>
  <c r="U25" i="17"/>
  <c r="T25" i="17"/>
  <c r="S25" i="17"/>
  <c r="R25" i="17"/>
  <c r="Q25" i="17"/>
  <c r="P25" i="17"/>
  <c r="O25" i="17"/>
  <c r="N25" i="17"/>
  <c r="M25" i="17"/>
  <c r="L25" i="17"/>
  <c r="K25" i="17"/>
  <c r="J25" i="17"/>
  <c r="I25" i="17"/>
  <c r="H25" i="17"/>
  <c r="G25" i="17"/>
  <c r="F25" i="17"/>
  <c r="E25" i="17"/>
  <c r="D25" i="17"/>
  <c r="C25" i="17"/>
  <c r="B25" i="17"/>
  <c r="U24" i="17"/>
  <c r="T24" i="17"/>
  <c r="S24" i="17"/>
  <c r="R24" i="17"/>
  <c r="Q24" i="17"/>
  <c r="P24" i="17"/>
  <c r="O24" i="17"/>
  <c r="N24" i="17"/>
  <c r="M24" i="17"/>
  <c r="L24" i="17"/>
  <c r="K24" i="17"/>
  <c r="J24" i="17"/>
  <c r="I24" i="17"/>
  <c r="H24" i="17"/>
  <c r="G24" i="17"/>
  <c r="F24" i="17"/>
  <c r="E24" i="17"/>
  <c r="D24" i="17"/>
  <c r="C24" i="17"/>
  <c r="B24" i="17"/>
  <c r="U23" i="17"/>
  <c r="T23" i="17"/>
  <c r="S23" i="17"/>
  <c r="R23" i="17"/>
  <c r="Q23" i="17"/>
  <c r="P23" i="17"/>
  <c r="O23" i="17"/>
  <c r="N23" i="17"/>
  <c r="M23" i="17"/>
  <c r="L23" i="17"/>
  <c r="K23" i="17"/>
  <c r="J23" i="17"/>
  <c r="I23" i="17"/>
  <c r="H23" i="17"/>
  <c r="G23" i="17"/>
  <c r="F23" i="17"/>
  <c r="E23" i="17"/>
  <c r="D23" i="17"/>
  <c r="C23" i="17"/>
  <c r="B23" i="17"/>
  <c r="U22" i="17"/>
  <c r="T22" i="17"/>
  <c r="S22" i="17"/>
  <c r="R22" i="17"/>
  <c r="Q22" i="17"/>
  <c r="P22" i="17"/>
  <c r="O22" i="17"/>
  <c r="N22" i="17"/>
  <c r="M22" i="17"/>
  <c r="L22" i="17"/>
  <c r="K22" i="17"/>
  <c r="J22" i="17"/>
  <c r="I22" i="17"/>
  <c r="H22" i="17"/>
  <c r="G22" i="17"/>
  <c r="F22" i="17"/>
  <c r="E22" i="17"/>
  <c r="D22" i="17"/>
  <c r="C22" i="17"/>
  <c r="B22" i="17"/>
  <c r="U21" i="17"/>
  <c r="T21" i="17"/>
  <c r="S21" i="17"/>
  <c r="R21" i="17"/>
  <c r="Q21" i="17"/>
  <c r="P21" i="17"/>
  <c r="O21" i="17"/>
  <c r="N21" i="17"/>
  <c r="M21" i="17"/>
  <c r="L21" i="17"/>
  <c r="K21" i="17"/>
  <c r="J21" i="17"/>
  <c r="I21" i="17"/>
  <c r="H21" i="17"/>
  <c r="G21" i="17"/>
  <c r="F21" i="17"/>
  <c r="E21" i="17"/>
  <c r="D21" i="17"/>
  <c r="C21" i="17"/>
  <c r="B21" i="17"/>
  <c r="U20" i="17"/>
  <c r="T20" i="17"/>
  <c r="S20" i="17"/>
  <c r="R20" i="17"/>
  <c r="Q20" i="17"/>
  <c r="P20" i="17"/>
  <c r="O20" i="17"/>
  <c r="N20" i="17"/>
  <c r="M20" i="17"/>
  <c r="L20" i="17"/>
  <c r="K20" i="17"/>
  <c r="J20" i="17"/>
  <c r="I20" i="17"/>
  <c r="H20" i="17"/>
  <c r="G20" i="17"/>
  <c r="F20" i="17"/>
  <c r="E20" i="17"/>
  <c r="D20" i="17"/>
  <c r="C20" i="17"/>
  <c r="B20" i="17"/>
  <c r="U19" i="17"/>
  <c r="T19" i="17"/>
  <c r="S19" i="17"/>
  <c r="R19" i="17"/>
  <c r="Q19" i="17"/>
  <c r="P19" i="17"/>
  <c r="O19" i="17"/>
  <c r="N19" i="17"/>
  <c r="M19" i="17"/>
  <c r="L19" i="17"/>
  <c r="K19" i="17"/>
  <c r="J19" i="17"/>
  <c r="I19" i="17"/>
  <c r="H19" i="17"/>
  <c r="G19" i="17"/>
  <c r="F19" i="17"/>
  <c r="E19" i="17"/>
  <c r="D19" i="17"/>
  <c r="C19" i="17"/>
  <c r="B19" i="17"/>
  <c r="U18" i="17"/>
  <c r="T18" i="17"/>
  <c r="S18" i="17"/>
  <c r="R18" i="17"/>
  <c r="Q18" i="17"/>
  <c r="P18" i="17"/>
  <c r="O18" i="17"/>
  <c r="N18" i="17"/>
  <c r="M18" i="17"/>
  <c r="L18" i="17"/>
  <c r="K18" i="17"/>
  <c r="J18" i="17"/>
  <c r="I18" i="17"/>
  <c r="H18" i="17"/>
  <c r="G18" i="17"/>
  <c r="F18" i="17"/>
  <c r="E18" i="17"/>
  <c r="D18" i="17"/>
  <c r="C18" i="17"/>
  <c r="B18" i="17"/>
  <c r="U17" i="17"/>
  <c r="T17" i="17"/>
  <c r="S17" i="17"/>
  <c r="R17" i="17"/>
  <c r="Q17" i="17"/>
  <c r="P17" i="17"/>
  <c r="O17" i="17"/>
  <c r="N17" i="17"/>
  <c r="M17" i="17"/>
  <c r="L17" i="17"/>
  <c r="K17" i="17"/>
  <c r="J17" i="17"/>
  <c r="I17" i="17"/>
  <c r="H17" i="17"/>
  <c r="G17" i="17"/>
  <c r="F17" i="17"/>
  <c r="E17" i="17"/>
  <c r="D17" i="17"/>
  <c r="C17" i="17"/>
  <c r="B17" i="17"/>
  <c r="U16" i="17"/>
  <c r="T16" i="17"/>
  <c r="S16" i="17"/>
  <c r="R16" i="17"/>
  <c r="Q16" i="17"/>
  <c r="P16" i="17"/>
  <c r="O16" i="17"/>
  <c r="N16" i="17"/>
  <c r="M16" i="17"/>
  <c r="L16" i="17"/>
  <c r="K16" i="17"/>
  <c r="J16" i="17"/>
  <c r="I16" i="17"/>
  <c r="H16" i="17"/>
  <c r="G16" i="17"/>
  <c r="F16" i="17"/>
  <c r="E16" i="17"/>
  <c r="D16" i="17"/>
  <c r="C16" i="17"/>
  <c r="B16" i="17"/>
  <c r="U15" i="17"/>
  <c r="T15" i="17"/>
  <c r="S15" i="17"/>
  <c r="R15" i="17"/>
  <c r="Q15" i="17"/>
  <c r="P15" i="17"/>
  <c r="O15" i="17"/>
  <c r="N15" i="17"/>
  <c r="M15" i="17"/>
  <c r="L15" i="17"/>
  <c r="K15" i="17"/>
  <c r="J15" i="17"/>
  <c r="I15" i="17"/>
  <c r="H15" i="17"/>
  <c r="G15" i="17"/>
  <c r="F15" i="17"/>
  <c r="E15" i="17"/>
  <c r="D15" i="17"/>
  <c r="C15" i="17"/>
  <c r="B15" i="17"/>
  <c r="U14" i="17"/>
  <c r="T14" i="17"/>
  <c r="S14" i="17"/>
  <c r="R14" i="17"/>
  <c r="Q14" i="17"/>
  <c r="P14" i="17"/>
  <c r="O14" i="17"/>
  <c r="N14" i="17"/>
  <c r="M14" i="17"/>
  <c r="L14" i="17"/>
  <c r="K14" i="17"/>
  <c r="J14" i="17"/>
  <c r="I14" i="17"/>
  <c r="H14" i="17"/>
  <c r="G14" i="17"/>
  <c r="F14" i="17"/>
  <c r="E14" i="17"/>
  <c r="D14" i="17"/>
  <c r="C14" i="17"/>
  <c r="B14" i="17"/>
  <c r="U13" i="17"/>
  <c r="T13" i="17"/>
  <c r="S13" i="17"/>
  <c r="R13" i="17"/>
  <c r="Q13" i="17"/>
  <c r="P13" i="17"/>
  <c r="O13" i="17"/>
  <c r="N13" i="17"/>
  <c r="M13" i="17"/>
  <c r="L13" i="17"/>
  <c r="K13" i="17"/>
  <c r="J13" i="17"/>
  <c r="I13" i="17"/>
  <c r="H13" i="17"/>
  <c r="G13" i="17"/>
  <c r="F13" i="17"/>
  <c r="E13" i="17"/>
  <c r="D13" i="17"/>
  <c r="C13" i="17"/>
  <c r="B13" i="17"/>
  <c r="U12" i="17"/>
  <c r="T12" i="17"/>
  <c r="S12" i="17"/>
  <c r="R12" i="17"/>
  <c r="Q12" i="17"/>
  <c r="P12" i="17"/>
  <c r="O12" i="17"/>
  <c r="N12" i="17"/>
  <c r="M12" i="17"/>
  <c r="L12" i="17"/>
  <c r="K12" i="17"/>
  <c r="J12" i="17"/>
  <c r="I12" i="17"/>
  <c r="H12" i="17"/>
  <c r="G12" i="17"/>
  <c r="F12" i="17"/>
  <c r="E12" i="17"/>
  <c r="D12" i="17"/>
  <c r="C12" i="17"/>
  <c r="B12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B11" i="17"/>
  <c r="U10" i="17"/>
  <c r="T10" i="17"/>
  <c r="S10" i="17"/>
  <c r="R10" i="17"/>
  <c r="Q10" i="17"/>
  <c r="P10" i="17"/>
  <c r="O10" i="17"/>
  <c r="N10" i="17"/>
  <c r="M10" i="17"/>
  <c r="L10" i="17"/>
  <c r="K10" i="17"/>
  <c r="J10" i="17"/>
  <c r="I10" i="17"/>
  <c r="H10" i="17"/>
  <c r="G10" i="17"/>
  <c r="F10" i="17"/>
  <c r="E10" i="17"/>
  <c r="D10" i="17"/>
  <c r="C10" i="17"/>
  <c r="B10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D9" i="17"/>
  <c r="C9" i="17"/>
  <c r="B9" i="17"/>
  <c r="U8" i="17"/>
  <c r="T8" i="17"/>
  <c r="S8" i="17"/>
  <c r="R8" i="17"/>
  <c r="Q8" i="17"/>
  <c r="P8" i="17"/>
  <c r="O8" i="17"/>
  <c r="N8" i="17"/>
  <c r="M8" i="17"/>
  <c r="L8" i="17"/>
  <c r="K8" i="17"/>
  <c r="J8" i="17"/>
  <c r="I8" i="17"/>
  <c r="H8" i="17"/>
  <c r="G8" i="17"/>
  <c r="F8" i="17"/>
  <c r="E8" i="17"/>
  <c r="D8" i="17"/>
  <c r="C8" i="17"/>
  <c r="B8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B7" i="17"/>
  <c r="U6" i="17"/>
  <c r="T6" i="17"/>
  <c r="S6" i="17"/>
  <c r="R6" i="17"/>
  <c r="Q6" i="17"/>
  <c r="P6" i="17"/>
  <c r="O6" i="17"/>
  <c r="N6" i="17"/>
  <c r="M6" i="17"/>
  <c r="L6" i="17"/>
  <c r="K6" i="17"/>
  <c r="J6" i="17"/>
  <c r="I6" i="17"/>
  <c r="H6" i="17"/>
  <c r="G6" i="17"/>
  <c r="F6" i="17"/>
  <c r="E6" i="17"/>
  <c r="D6" i="17"/>
  <c r="C6" i="17"/>
  <c r="B6" i="17"/>
  <c r="U5" i="17"/>
  <c r="T5" i="17"/>
  <c r="S5" i="17"/>
  <c r="R5" i="17"/>
  <c r="Q5" i="17"/>
  <c r="P5" i="17"/>
  <c r="O5" i="17"/>
  <c r="N5" i="17"/>
  <c r="M5" i="17"/>
  <c r="L5" i="17"/>
  <c r="K5" i="17"/>
  <c r="J5" i="17"/>
  <c r="I5" i="17"/>
  <c r="H5" i="17"/>
  <c r="G5" i="17"/>
  <c r="F5" i="17"/>
  <c r="E5" i="17"/>
  <c r="D5" i="17"/>
  <c r="C5" i="17"/>
  <c r="B5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B4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D3" i="17"/>
  <c r="C3" i="17"/>
  <c r="B3" i="17"/>
  <c r="B5" i="4"/>
  <c r="F98" i="19" l="1"/>
  <c r="F97" i="19"/>
  <c r="F96" i="19"/>
  <c r="F95" i="19"/>
  <c r="F94" i="19"/>
  <c r="F93" i="19"/>
  <c r="F92" i="19"/>
  <c r="F91" i="19"/>
  <c r="F90" i="19"/>
  <c r="F89" i="19"/>
  <c r="F88" i="19"/>
  <c r="F87" i="19"/>
  <c r="F86" i="19"/>
  <c r="F85" i="19"/>
  <c r="F84" i="19"/>
  <c r="F83" i="19"/>
  <c r="F82" i="19"/>
  <c r="F81" i="19"/>
  <c r="F80" i="19"/>
  <c r="F79" i="19"/>
  <c r="F78" i="19"/>
  <c r="F77" i="19"/>
  <c r="F76" i="19"/>
  <c r="F75" i="19"/>
  <c r="F74" i="19"/>
  <c r="F73" i="19"/>
  <c r="F72" i="19"/>
  <c r="F71" i="19"/>
  <c r="F70" i="19"/>
  <c r="F69" i="19"/>
  <c r="F68" i="19"/>
  <c r="F67" i="19"/>
  <c r="F66" i="19"/>
  <c r="F65" i="19"/>
  <c r="F64" i="19"/>
  <c r="F63" i="19"/>
  <c r="F62" i="19"/>
  <c r="F61" i="19"/>
  <c r="F60" i="19"/>
  <c r="F59" i="19"/>
  <c r="F58" i="19"/>
  <c r="F57" i="19"/>
  <c r="F56" i="19"/>
  <c r="F55" i="19"/>
  <c r="F54" i="19"/>
  <c r="F53" i="19"/>
  <c r="F52" i="19"/>
  <c r="F51" i="19"/>
  <c r="F50" i="19"/>
  <c r="F49" i="19"/>
  <c r="F48" i="19"/>
  <c r="F47" i="19"/>
  <c r="F46" i="19"/>
  <c r="F45" i="19"/>
  <c r="F44" i="19"/>
  <c r="F43" i="19"/>
  <c r="F42" i="19"/>
  <c r="F41" i="19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5" i="19"/>
  <c r="F4" i="19"/>
  <c r="F3" i="19"/>
  <c r="T23" i="4"/>
  <c r="J22" i="4"/>
  <c r="Z20" i="4"/>
  <c r="P19" i="4"/>
  <c r="F18" i="4"/>
  <c r="V16" i="4"/>
  <c r="L15" i="4"/>
  <c r="C14" i="4"/>
  <c r="K13" i="4"/>
  <c r="S12" i="4"/>
  <c r="AA11" i="4"/>
  <c r="I11" i="4"/>
  <c r="Q10" i="4"/>
  <c r="Y9" i="4"/>
  <c r="G9" i="4"/>
  <c r="O8" i="4"/>
  <c r="W7" i="4"/>
  <c r="E7" i="4"/>
  <c r="M6" i="4"/>
  <c r="U5" i="4"/>
  <c r="E5" i="4"/>
  <c r="W4" i="4"/>
  <c r="M4" i="4"/>
  <c r="G4" i="4"/>
  <c r="AA3" i="4"/>
  <c r="U3" i="4"/>
  <c r="O3" i="4"/>
  <c r="I3" i="4"/>
  <c r="C3" i="4"/>
  <c r="H99" i="19"/>
  <c r="F99" i="19"/>
  <c r="N23" i="4" s="1"/>
  <c r="D30" i="17"/>
  <c r="J30" i="17"/>
  <c r="P30" i="17"/>
  <c r="B30" i="17"/>
  <c r="V27" i="17"/>
  <c r="V21" i="17"/>
  <c r="V15" i="17"/>
  <c r="U30" i="17"/>
  <c r="T30" i="17"/>
  <c r="S30" i="17"/>
  <c r="R30" i="17"/>
  <c r="Q30" i="17"/>
  <c r="O30" i="17"/>
  <c r="N30" i="17"/>
  <c r="M30" i="17"/>
  <c r="L30" i="17"/>
  <c r="K30" i="17"/>
  <c r="I30" i="17"/>
  <c r="H30" i="17"/>
  <c r="G30" i="17"/>
  <c r="F30" i="17"/>
  <c r="E30" i="17"/>
  <c r="C30" i="17"/>
  <c r="D3" i="4" l="1"/>
  <c r="J3" i="4"/>
  <c r="P3" i="4"/>
  <c r="V3" i="4"/>
  <c r="B4" i="4"/>
  <c r="H4" i="4"/>
  <c r="P4" i="4"/>
  <c r="X4" i="4"/>
  <c r="H5" i="4"/>
  <c r="Z5" i="4"/>
  <c r="R6" i="4"/>
  <c r="J7" i="4"/>
  <c r="B8" i="4"/>
  <c r="T8" i="4"/>
  <c r="L9" i="4"/>
  <c r="D10" i="4"/>
  <c r="V10" i="4"/>
  <c r="N11" i="4"/>
  <c r="F12" i="4"/>
  <c r="X12" i="4"/>
  <c r="P13" i="4"/>
  <c r="H14" i="4"/>
  <c r="R15" i="4"/>
  <c r="B17" i="4"/>
  <c r="L18" i="4"/>
  <c r="V19" i="4"/>
  <c r="F21" i="4"/>
  <c r="P22" i="4"/>
  <c r="Z23" i="4"/>
  <c r="E3" i="4"/>
  <c r="K3" i="4"/>
  <c r="Q3" i="4"/>
  <c r="W3" i="4"/>
  <c r="C4" i="4"/>
  <c r="I4" i="4"/>
  <c r="Q4" i="4"/>
  <c r="Y4" i="4"/>
  <c r="I5" i="4"/>
  <c r="AA5" i="4"/>
  <c r="S6" i="4"/>
  <c r="K7" i="4"/>
  <c r="C8" i="4"/>
  <c r="U8" i="4"/>
  <c r="M9" i="4"/>
  <c r="E10" i="4"/>
  <c r="W10" i="4"/>
  <c r="O11" i="4"/>
  <c r="G12" i="4"/>
  <c r="Y12" i="4"/>
  <c r="Q13" i="4"/>
  <c r="N14" i="4"/>
  <c r="X15" i="4"/>
  <c r="H17" i="4"/>
  <c r="R18" i="4"/>
  <c r="B20" i="4"/>
  <c r="L21" i="4"/>
  <c r="V22" i="4"/>
  <c r="F3" i="4"/>
  <c r="L3" i="4"/>
  <c r="R3" i="4"/>
  <c r="X3" i="4"/>
  <c r="D4" i="4"/>
  <c r="J4" i="4"/>
  <c r="R4" i="4"/>
  <c r="N5" i="4"/>
  <c r="F6" i="4"/>
  <c r="X6" i="4"/>
  <c r="P7" i="4"/>
  <c r="H8" i="4"/>
  <c r="Z8" i="4"/>
  <c r="R9" i="4"/>
  <c r="J10" i="4"/>
  <c r="B11" i="4"/>
  <c r="T11" i="4"/>
  <c r="L12" i="4"/>
  <c r="D13" i="4"/>
  <c r="V13" i="4"/>
  <c r="T14" i="4"/>
  <c r="D16" i="4"/>
  <c r="N17" i="4"/>
  <c r="X18" i="4"/>
  <c r="H20" i="4"/>
  <c r="R21" i="4"/>
  <c r="B23" i="4"/>
  <c r="G3" i="4"/>
  <c r="M3" i="4"/>
  <c r="S3" i="4"/>
  <c r="Y3" i="4"/>
  <c r="E4" i="4"/>
  <c r="K4" i="4"/>
  <c r="S4" i="4"/>
  <c r="C5" i="4"/>
  <c r="O5" i="4"/>
  <c r="G6" i="4"/>
  <c r="Y6" i="4"/>
  <c r="Q7" i="4"/>
  <c r="I8" i="4"/>
  <c r="AA8" i="4"/>
  <c r="S9" i="4"/>
  <c r="K10" i="4"/>
  <c r="C11" i="4"/>
  <c r="U11" i="4"/>
  <c r="M12" i="4"/>
  <c r="E13" i="4"/>
  <c r="W13" i="4"/>
  <c r="Z14" i="4"/>
  <c r="J16" i="4"/>
  <c r="T17" i="4"/>
  <c r="D19" i="4"/>
  <c r="N20" i="4"/>
  <c r="X21" i="4"/>
  <c r="H23" i="4"/>
  <c r="B3" i="4"/>
  <c r="H3" i="4"/>
  <c r="N3" i="4"/>
  <c r="T3" i="4"/>
  <c r="Z3" i="4"/>
  <c r="F4" i="4"/>
  <c r="L4" i="4"/>
  <c r="V4" i="4"/>
  <c r="D5" i="4"/>
  <c r="T5" i="4"/>
  <c r="L6" i="4"/>
  <c r="D7" i="4"/>
  <c r="V7" i="4"/>
  <c r="N8" i="4"/>
  <c r="F9" i="4"/>
  <c r="X9" i="4"/>
  <c r="P10" i="4"/>
  <c r="H11" i="4"/>
  <c r="Z11" i="4"/>
  <c r="R12" i="4"/>
  <c r="J13" i="4"/>
  <c r="B14" i="4"/>
  <c r="F15" i="4"/>
  <c r="P16" i="4"/>
  <c r="Z17" i="4"/>
  <c r="J19" i="4"/>
  <c r="T20" i="4"/>
  <c r="D22" i="4"/>
  <c r="Y23" i="4"/>
  <c r="S23" i="4"/>
  <c r="M23" i="4"/>
  <c r="G23" i="4"/>
  <c r="AA22" i="4"/>
  <c r="U22" i="4"/>
  <c r="O22" i="4"/>
  <c r="I22" i="4"/>
  <c r="C22" i="4"/>
  <c r="W21" i="4"/>
  <c r="Q21" i="4"/>
  <c r="K21" i="4"/>
  <c r="E21" i="4"/>
  <c r="Y20" i="4"/>
  <c r="S20" i="4"/>
  <c r="M20" i="4"/>
  <c r="G20" i="4"/>
  <c r="AA19" i="4"/>
  <c r="U19" i="4"/>
  <c r="O19" i="4"/>
  <c r="I19" i="4"/>
  <c r="C19" i="4"/>
  <c r="W18" i="4"/>
  <c r="Q18" i="4"/>
  <c r="K18" i="4"/>
  <c r="E18" i="4"/>
  <c r="Y17" i="4"/>
  <c r="S17" i="4"/>
  <c r="M17" i="4"/>
  <c r="G17" i="4"/>
  <c r="AA16" i="4"/>
  <c r="U16" i="4"/>
  <c r="O16" i="4"/>
  <c r="I16" i="4"/>
  <c r="C16" i="4"/>
  <c r="W15" i="4"/>
  <c r="Q15" i="4"/>
  <c r="K15" i="4"/>
  <c r="E15" i="4"/>
  <c r="Y14" i="4"/>
  <c r="S14" i="4"/>
  <c r="M14" i="4"/>
  <c r="G14" i="4"/>
  <c r="AA13" i="4"/>
  <c r="U13" i="4"/>
  <c r="O13" i="4"/>
  <c r="I13" i="4"/>
  <c r="C13" i="4"/>
  <c r="W12" i="4"/>
  <c r="Q12" i="4"/>
  <c r="K12" i="4"/>
  <c r="E12" i="4"/>
  <c r="Y11" i="4"/>
  <c r="S11" i="4"/>
  <c r="M11" i="4"/>
  <c r="G11" i="4"/>
  <c r="AA10" i="4"/>
  <c r="U10" i="4"/>
  <c r="O10" i="4"/>
  <c r="I10" i="4"/>
  <c r="C10" i="4"/>
  <c r="W9" i="4"/>
  <c r="Q9" i="4"/>
  <c r="K9" i="4"/>
  <c r="E9" i="4"/>
  <c r="Y8" i="4"/>
  <c r="S8" i="4"/>
  <c r="M8" i="4"/>
  <c r="G8" i="4"/>
  <c r="AA7" i="4"/>
  <c r="U7" i="4"/>
  <c r="O7" i="4"/>
  <c r="I7" i="4"/>
  <c r="C7" i="4"/>
  <c r="W6" i="4"/>
  <c r="Q6" i="4"/>
  <c r="K6" i="4"/>
  <c r="E6" i="4"/>
  <c r="Y5" i="4"/>
  <c r="S5" i="4"/>
  <c r="M5" i="4"/>
  <c r="G5" i="4"/>
  <c r="AA4" i="4"/>
  <c r="U4" i="4"/>
  <c r="O4" i="4"/>
  <c r="X23" i="4"/>
  <c r="R23" i="4"/>
  <c r="L23" i="4"/>
  <c r="F23" i="4"/>
  <c r="Z22" i="4"/>
  <c r="T22" i="4"/>
  <c r="N22" i="4"/>
  <c r="H22" i="4"/>
  <c r="B22" i="4"/>
  <c r="V21" i="4"/>
  <c r="P21" i="4"/>
  <c r="J21" i="4"/>
  <c r="D21" i="4"/>
  <c r="X20" i="4"/>
  <c r="R20" i="4"/>
  <c r="L20" i="4"/>
  <c r="F20" i="4"/>
  <c r="Z19" i="4"/>
  <c r="T19" i="4"/>
  <c r="N19" i="4"/>
  <c r="H19" i="4"/>
  <c r="B19" i="4"/>
  <c r="V18" i="4"/>
  <c r="P18" i="4"/>
  <c r="J18" i="4"/>
  <c r="D18" i="4"/>
  <c r="X17" i="4"/>
  <c r="R17" i="4"/>
  <c r="L17" i="4"/>
  <c r="F17" i="4"/>
  <c r="Z16" i="4"/>
  <c r="T16" i="4"/>
  <c r="N16" i="4"/>
  <c r="H16" i="4"/>
  <c r="B16" i="4"/>
  <c r="V15" i="4"/>
  <c r="P15" i="4"/>
  <c r="J15" i="4"/>
  <c r="D15" i="4"/>
  <c r="X14" i="4"/>
  <c r="R14" i="4"/>
  <c r="L14" i="4"/>
  <c r="F14" i="4"/>
  <c r="Z13" i="4"/>
  <c r="T13" i="4"/>
  <c r="N13" i="4"/>
  <c r="H13" i="4"/>
  <c r="B13" i="4"/>
  <c r="V12" i="4"/>
  <c r="P12" i="4"/>
  <c r="J12" i="4"/>
  <c r="D12" i="4"/>
  <c r="X11" i="4"/>
  <c r="R11" i="4"/>
  <c r="L11" i="4"/>
  <c r="F11" i="4"/>
  <c r="Z10" i="4"/>
  <c r="T10" i="4"/>
  <c r="N10" i="4"/>
  <c r="H10" i="4"/>
  <c r="B10" i="4"/>
  <c r="V9" i="4"/>
  <c r="P9" i="4"/>
  <c r="J9" i="4"/>
  <c r="D9" i="4"/>
  <c r="X8" i="4"/>
  <c r="R8" i="4"/>
  <c r="L8" i="4"/>
  <c r="F8" i="4"/>
  <c r="Z7" i="4"/>
  <c r="T7" i="4"/>
  <c r="N7" i="4"/>
  <c r="H7" i="4"/>
  <c r="B7" i="4"/>
  <c r="V6" i="4"/>
  <c r="P6" i="4"/>
  <c r="J6" i="4"/>
  <c r="D6" i="4"/>
  <c r="X5" i="4"/>
  <c r="R5" i="4"/>
  <c r="L5" i="4"/>
  <c r="F5" i="4"/>
  <c r="Z4" i="4"/>
  <c r="T4" i="4"/>
  <c r="N4" i="4"/>
  <c r="W23" i="4"/>
  <c r="Q23" i="4"/>
  <c r="K23" i="4"/>
  <c r="E23" i="4"/>
  <c r="Y22" i="4"/>
  <c r="S22" i="4"/>
  <c r="M22" i="4"/>
  <c r="G22" i="4"/>
  <c r="AA21" i="4"/>
  <c r="U21" i="4"/>
  <c r="O21" i="4"/>
  <c r="I21" i="4"/>
  <c r="C21" i="4"/>
  <c r="W20" i="4"/>
  <c r="Q20" i="4"/>
  <c r="K20" i="4"/>
  <c r="E20" i="4"/>
  <c r="Y19" i="4"/>
  <c r="S19" i="4"/>
  <c r="M19" i="4"/>
  <c r="G19" i="4"/>
  <c r="AA18" i="4"/>
  <c r="U18" i="4"/>
  <c r="O18" i="4"/>
  <c r="I18" i="4"/>
  <c r="C18" i="4"/>
  <c r="W17" i="4"/>
  <c r="Q17" i="4"/>
  <c r="K17" i="4"/>
  <c r="E17" i="4"/>
  <c r="Y16" i="4"/>
  <c r="S16" i="4"/>
  <c r="M16" i="4"/>
  <c r="G16" i="4"/>
  <c r="AA15" i="4"/>
  <c r="U15" i="4"/>
  <c r="O15" i="4"/>
  <c r="I15" i="4"/>
  <c r="C15" i="4"/>
  <c r="W14" i="4"/>
  <c r="Q14" i="4"/>
  <c r="K14" i="4"/>
  <c r="E14" i="4"/>
  <c r="Y13" i="4"/>
  <c r="S13" i="4"/>
  <c r="M13" i="4"/>
  <c r="G13" i="4"/>
  <c r="AA12" i="4"/>
  <c r="U12" i="4"/>
  <c r="O12" i="4"/>
  <c r="I12" i="4"/>
  <c r="C12" i="4"/>
  <c r="W11" i="4"/>
  <c r="Q11" i="4"/>
  <c r="K11" i="4"/>
  <c r="E11" i="4"/>
  <c r="Y10" i="4"/>
  <c r="S10" i="4"/>
  <c r="M10" i="4"/>
  <c r="G10" i="4"/>
  <c r="AA9" i="4"/>
  <c r="U9" i="4"/>
  <c r="O9" i="4"/>
  <c r="I9" i="4"/>
  <c r="C9" i="4"/>
  <c r="W8" i="4"/>
  <c r="Q8" i="4"/>
  <c r="K8" i="4"/>
  <c r="E8" i="4"/>
  <c r="Y7" i="4"/>
  <c r="S7" i="4"/>
  <c r="M7" i="4"/>
  <c r="G7" i="4"/>
  <c r="AA6" i="4"/>
  <c r="U6" i="4"/>
  <c r="O6" i="4"/>
  <c r="I6" i="4"/>
  <c r="C6" i="4"/>
  <c r="W5" i="4"/>
  <c r="Q5" i="4"/>
  <c r="K5" i="4"/>
  <c r="V23" i="4"/>
  <c r="P23" i="4"/>
  <c r="J23" i="4"/>
  <c r="D23" i="4"/>
  <c r="X22" i="4"/>
  <c r="R22" i="4"/>
  <c r="L22" i="4"/>
  <c r="F22" i="4"/>
  <c r="Z21" i="4"/>
  <c r="T21" i="4"/>
  <c r="N21" i="4"/>
  <c r="H21" i="4"/>
  <c r="B21" i="4"/>
  <c r="V20" i="4"/>
  <c r="P20" i="4"/>
  <c r="J20" i="4"/>
  <c r="D20" i="4"/>
  <c r="X19" i="4"/>
  <c r="R19" i="4"/>
  <c r="L19" i="4"/>
  <c r="F19" i="4"/>
  <c r="Z18" i="4"/>
  <c r="T18" i="4"/>
  <c r="N18" i="4"/>
  <c r="H18" i="4"/>
  <c r="B18" i="4"/>
  <c r="V17" i="4"/>
  <c r="P17" i="4"/>
  <c r="J17" i="4"/>
  <c r="D17" i="4"/>
  <c r="X16" i="4"/>
  <c r="R16" i="4"/>
  <c r="L16" i="4"/>
  <c r="F16" i="4"/>
  <c r="Z15" i="4"/>
  <c r="T15" i="4"/>
  <c r="N15" i="4"/>
  <c r="H15" i="4"/>
  <c r="B15" i="4"/>
  <c r="V14" i="4"/>
  <c r="P14" i="4"/>
  <c r="J14" i="4"/>
  <c r="D14" i="4"/>
  <c r="X13" i="4"/>
  <c r="R13" i="4"/>
  <c r="L13" i="4"/>
  <c r="F13" i="4"/>
  <c r="Z12" i="4"/>
  <c r="T12" i="4"/>
  <c r="N12" i="4"/>
  <c r="H12" i="4"/>
  <c r="B12" i="4"/>
  <c r="V11" i="4"/>
  <c r="P11" i="4"/>
  <c r="J11" i="4"/>
  <c r="D11" i="4"/>
  <c r="X10" i="4"/>
  <c r="R10" i="4"/>
  <c r="L10" i="4"/>
  <c r="F10" i="4"/>
  <c r="Z9" i="4"/>
  <c r="T9" i="4"/>
  <c r="N9" i="4"/>
  <c r="H9" i="4"/>
  <c r="B9" i="4"/>
  <c r="V8" i="4"/>
  <c r="P8" i="4"/>
  <c r="J8" i="4"/>
  <c r="D8" i="4"/>
  <c r="X7" i="4"/>
  <c r="R7" i="4"/>
  <c r="L7" i="4"/>
  <c r="F7" i="4"/>
  <c r="Z6" i="4"/>
  <c r="T6" i="4"/>
  <c r="N6" i="4"/>
  <c r="H6" i="4"/>
  <c r="B6" i="4"/>
  <c r="V5" i="4"/>
  <c r="P5" i="4"/>
  <c r="J5" i="4"/>
  <c r="AA23" i="4"/>
  <c r="U23" i="4"/>
  <c r="O23" i="4"/>
  <c r="I23" i="4"/>
  <c r="C23" i="4"/>
  <c r="AB23" i="4" s="1"/>
  <c r="W22" i="4"/>
  <c r="Q22" i="4"/>
  <c r="K22" i="4"/>
  <c r="E22" i="4"/>
  <c r="Y21" i="4"/>
  <c r="S21" i="4"/>
  <c r="M21" i="4"/>
  <c r="G21" i="4"/>
  <c r="AA20" i="4"/>
  <c r="U20" i="4"/>
  <c r="O20" i="4"/>
  <c r="I20" i="4"/>
  <c r="C20" i="4"/>
  <c r="W19" i="4"/>
  <c r="Q19" i="4"/>
  <c r="K19" i="4"/>
  <c r="E19" i="4"/>
  <c r="Y18" i="4"/>
  <c r="S18" i="4"/>
  <c r="M18" i="4"/>
  <c r="G18" i="4"/>
  <c r="AA17" i="4"/>
  <c r="U17" i="4"/>
  <c r="O17" i="4"/>
  <c r="I17" i="4"/>
  <c r="C17" i="4"/>
  <c r="W16" i="4"/>
  <c r="Q16" i="4"/>
  <c r="K16" i="4"/>
  <c r="E16" i="4"/>
  <c r="Y15" i="4"/>
  <c r="S15" i="4"/>
  <c r="M15" i="4"/>
  <c r="G15" i="4"/>
  <c r="AA14" i="4"/>
  <c r="U14" i="4"/>
  <c r="O14" i="4"/>
  <c r="I14" i="4"/>
  <c r="W24" i="4"/>
  <c r="T24" i="4"/>
  <c r="V24" i="4"/>
  <c r="AB4" i="4"/>
  <c r="V23" i="17"/>
  <c r="V22" i="17"/>
  <c r="V20" i="17"/>
  <c r="V19" i="17"/>
  <c r="V18" i="17"/>
  <c r="V17" i="17"/>
  <c r="V16" i="17"/>
  <c r="V14" i="17"/>
  <c r="V13" i="17"/>
  <c r="V12" i="17"/>
  <c r="V28" i="17"/>
  <c r="V26" i="17"/>
  <c r="V25" i="17"/>
  <c r="V24" i="17"/>
  <c r="V4" i="17"/>
  <c r="V5" i="17"/>
  <c r="V6" i="17"/>
  <c r="V7" i="17"/>
  <c r="V8" i="17"/>
  <c r="V9" i="17"/>
  <c r="V10" i="17"/>
  <c r="V11" i="17"/>
  <c r="Y24" i="4" l="1"/>
  <c r="U24" i="4"/>
  <c r="AB5" i="4"/>
  <c r="AA24" i="4"/>
  <c r="AB17" i="4"/>
  <c r="AB12" i="4"/>
  <c r="AB7" i="4"/>
  <c r="AB11" i="4"/>
  <c r="X24" i="4"/>
  <c r="AB10" i="4"/>
  <c r="AB14" i="4"/>
  <c r="AB21" i="4"/>
  <c r="AB18" i="4"/>
  <c r="AB6" i="4"/>
  <c r="AB13" i="4"/>
  <c r="Z24" i="4"/>
  <c r="AB9" i="4"/>
  <c r="AB16" i="4"/>
  <c r="AB20" i="4"/>
  <c r="AB19" i="4"/>
  <c r="AB8" i="4"/>
  <c r="AB15" i="4"/>
  <c r="AB22" i="4"/>
  <c r="D2" i="13"/>
  <c r="AB3" i="4" l="1"/>
  <c r="L24" i="4" l="1"/>
  <c r="P24" i="4"/>
  <c r="O24" i="4"/>
  <c r="J24" i="4"/>
  <c r="I24" i="4"/>
  <c r="S24" i="4"/>
  <c r="Q24" i="4"/>
  <c r="N24" i="4"/>
  <c r="M24" i="4"/>
  <c r="R24" i="4"/>
  <c r="K24" i="4"/>
  <c r="H24" i="4"/>
  <c r="F24" i="4"/>
  <c r="G24" i="4"/>
  <c r="C24" i="4"/>
  <c r="B24" i="4"/>
  <c r="E24" i="4"/>
  <c r="D24" i="4"/>
  <c r="V3" i="17"/>
  <c r="V30" i="17" s="1"/>
  <c r="AB2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Werner Luck</author>
  </authors>
  <commentList>
    <comment ref="A2" authorId="0" shapeId="0" xr:uid="{203B2BEE-6EB9-4C0E-B99C-60AFE3B48B67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das Jagdjahr erstreckt sich vom 1. April bis zum 31. März </t>
        </r>
      </text>
    </comment>
    <comment ref="E2" authorId="0" shapeId="0" xr:uid="{FBEB8284-F1FF-4B50-9552-F2B5C1130A80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Siehe Tabelle Wildarten</t>
        </r>
      </text>
    </comment>
  </commentList>
</comments>
</file>

<file path=xl/sharedStrings.xml><?xml version="1.0" encoding="utf-8"?>
<sst xmlns="http://schemas.openxmlformats.org/spreadsheetml/2006/main" count="278" uniqueCount="161">
  <si>
    <t>Ansitze</t>
  </si>
  <si>
    <t>Datum</t>
  </si>
  <si>
    <t>Zeit</t>
  </si>
  <si>
    <t>Revier</t>
  </si>
  <si>
    <t>Ort</t>
  </si>
  <si>
    <t>Anblick</t>
  </si>
  <si>
    <t>Schüsse</t>
  </si>
  <si>
    <t>Bemerkungen</t>
  </si>
  <si>
    <t>Thiergarten</t>
  </si>
  <si>
    <t>Summe</t>
  </si>
  <si>
    <t>Rotwild</t>
  </si>
  <si>
    <t>Schwarzwild</t>
  </si>
  <si>
    <t>Rehwild</t>
  </si>
  <si>
    <t>Gamswild</t>
  </si>
  <si>
    <t>Damwild</t>
  </si>
  <si>
    <t>Muffelwild</t>
  </si>
  <si>
    <t>Eichelhäher</t>
  </si>
  <si>
    <t>Sa. Jagdjahr</t>
  </si>
  <si>
    <t>Wildarten</t>
  </si>
  <si>
    <t>Hase</t>
  </si>
  <si>
    <t>Kanin</t>
  </si>
  <si>
    <t>Fuchs</t>
  </si>
  <si>
    <t>Marder</t>
  </si>
  <si>
    <t>Fasan</t>
  </si>
  <si>
    <t>Ente</t>
  </si>
  <si>
    <t>Gans</t>
  </si>
  <si>
    <t>Schnepfe</t>
  </si>
  <si>
    <t>Ringeltaube</t>
  </si>
  <si>
    <t>Krähe</t>
  </si>
  <si>
    <t>Elster</t>
  </si>
  <si>
    <t>Katze</t>
  </si>
  <si>
    <t>Hund</t>
  </si>
  <si>
    <t>Name</t>
  </si>
  <si>
    <t>Vorname</t>
  </si>
  <si>
    <t>PLZ</t>
  </si>
  <si>
    <t>Straße</t>
  </si>
  <si>
    <t>Festnetz</t>
  </si>
  <si>
    <t>Mobil</t>
  </si>
  <si>
    <t>Fax</t>
  </si>
  <si>
    <t>E-Mail</t>
  </si>
  <si>
    <t>Internet</t>
  </si>
  <si>
    <t>Jagdjahr</t>
  </si>
  <si>
    <t>Wildart</t>
  </si>
  <si>
    <t>Geschlecht</t>
  </si>
  <si>
    <t>Code</t>
  </si>
  <si>
    <t>bis hierher Formel!</t>
  </si>
  <si>
    <t>Schussbuch</t>
  </si>
  <si>
    <t>Stück</t>
  </si>
  <si>
    <t>♀</t>
  </si>
  <si>
    <t>♂</t>
  </si>
  <si>
    <t>* Datum</t>
  </si>
  <si>
    <t>Strecke</t>
  </si>
  <si>
    <t>Bewegungsjagden / Drückjagden</t>
  </si>
  <si>
    <t>Jagdreisen</t>
  </si>
  <si>
    <t>Datum
von   bis</t>
  </si>
  <si>
    <t>Mitjäger</t>
  </si>
  <si>
    <t>selbst erleg-
tes Wild</t>
  </si>
  <si>
    <t>Jagdjahr
Datum</t>
  </si>
  <si>
    <t>Dauer</t>
  </si>
  <si>
    <t>erlegtes
 Wild</t>
  </si>
  <si>
    <t>Notizen</t>
  </si>
  <si>
    <t>Begebenheit</t>
  </si>
  <si>
    <t>Nr.:</t>
  </si>
  <si>
    <t>Neben-
kosten €</t>
  </si>
  <si>
    <t>Gesamt-
kosten €</t>
  </si>
  <si>
    <t>Jagd-
gebühren €</t>
  </si>
  <si>
    <t>Land / Ort</t>
  </si>
  <si>
    <t>Jagdart</t>
  </si>
  <si>
    <t>Drückjagden</t>
  </si>
  <si>
    <t>Veranstalter</t>
  </si>
  <si>
    <t>Waldrach</t>
  </si>
  <si>
    <t>Excel-Anwendung von</t>
  </si>
  <si>
    <t>WERNER LUCK</t>
  </si>
  <si>
    <t>INHALT</t>
  </si>
  <si>
    <t>Info</t>
  </si>
  <si>
    <t>Dieses Blatt</t>
  </si>
  <si>
    <t>E</t>
  </si>
  <si>
    <t>Eingaben (Anweisung zum Gebrauch der Arbeitsmappen)</t>
  </si>
  <si>
    <t>Excel-Anwendung speziell für die Wetterbeobachtung</t>
  </si>
  <si>
    <t>Entwickelt von Werner Luck</t>
  </si>
  <si>
    <t>Hauptstraße 2</t>
  </si>
  <si>
    <t>54413 Beuren</t>
  </si>
  <si>
    <t>Tel.: 06586/986025</t>
  </si>
  <si>
    <t>E-Mail: WernerLuck@web.de</t>
  </si>
  <si>
    <t>Erläuterungen und Anweisung</t>
  </si>
  <si>
    <t>zum Bearbeiten der Anwendung</t>
  </si>
  <si>
    <t>Informationen zum Autor, Essentials und Inhaltsübersicht</t>
  </si>
  <si>
    <t>Dieses Blatt;  Anweisung zum Arbeiten mit der Anwendung</t>
  </si>
  <si>
    <t>Jagdbuchführung</t>
  </si>
  <si>
    <t>Erstellen Sie Ihre Jagdaufzeichnungen und Jagdstatistiken in Excel. Erzeugen Sie komfortabel Diagramme</t>
  </si>
  <si>
    <t>Adressen</t>
  </si>
  <si>
    <t>Jagdstrecke</t>
  </si>
  <si>
    <t>Streckendiagramm</t>
  </si>
  <si>
    <t>Jagdliche Adressen</t>
  </si>
  <si>
    <t>Abschüsse im Jägerleben mit Erinnerungen und Fotos</t>
  </si>
  <si>
    <t>Übersicht über die erlegten Tiere</t>
  </si>
  <si>
    <t>Jagdstreckendiagramm</t>
  </si>
  <si>
    <t>Jagdliche Erinnerungen und Niederschriften</t>
  </si>
  <si>
    <t>Übersicht über die Ansitze</t>
  </si>
  <si>
    <t>Aufzeichnungen über Jagdreisen</t>
  </si>
  <si>
    <t>Aufzeichnungen über Drückjagden</t>
  </si>
  <si>
    <t>Wildartencode</t>
  </si>
  <si>
    <t>und Übersichten. Verwalten Sie Ihr Jagdrevier.</t>
  </si>
  <si>
    <t>Veranlassung</t>
  </si>
  <si>
    <t>Kosten der Jagdausübung</t>
  </si>
  <si>
    <t>Betrag</t>
  </si>
  <si>
    <t>Kosten</t>
  </si>
  <si>
    <t>Aufstellung über die Kosten der Jagdausübung</t>
  </si>
  <si>
    <t>Empfänger</t>
  </si>
  <si>
    <t>mit rot markierten</t>
  </si>
  <si>
    <t>Außengrenzen</t>
  </si>
  <si>
    <t>Ausbildungsrevier</t>
  </si>
  <si>
    <t>weiblich</t>
  </si>
  <si>
    <t>männlich</t>
  </si>
  <si>
    <t>Abt.</t>
  </si>
  <si>
    <t>Teilbetrag bei Filterung</t>
  </si>
  <si>
    <t>Fehlschuß</t>
  </si>
  <si>
    <t>Kugel</t>
  </si>
  <si>
    <t>Schrot</t>
  </si>
  <si>
    <t>2024/25</t>
  </si>
  <si>
    <r>
      <t xml:space="preserve">Hochsitz
Örtlichkeit
</t>
    </r>
    <r>
      <rPr>
        <sz val="9"/>
        <color theme="0"/>
        <rFont val="Calibri"/>
        <family val="2"/>
      </rPr>
      <t>(wenn Name bekannt)</t>
    </r>
  </si>
  <si>
    <t>Bezeichnung</t>
  </si>
  <si>
    <t>Drückjagd</t>
  </si>
  <si>
    <t>Ricke</t>
  </si>
  <si>
    <t>Ergebnis</t>
  </si>
  <si>
    <t xml:space="preserve">Summe </t>
  </si>
  <si>
    <t>Gabler 2 j.</t>
  </si>
  <si>
    <t>Ansitzjagd morgens (Tal der kleinen Prims)</t>
  </si>
  <si>
    <t>2025/26</t>
  </si>
  <si>
    <t>2026/27</t>
  </si>
  <si>
    <t>2027/28</t>
  </si>
  <si>
    <t>2028/29</t>
  </si>
  <si>
    <t>2029/30</t>
  </si>
  <si>
    <t>Bock</t>
  </si>
  <si>
    <t>2030/31</t>
  </si>
  <si>
    <t>2031/32</t>
  </si>
  <si>
    <t>2032/33</t>
  </si>
  <si>
    <r>
      <t xml:space="preserve">Die jeweils zutreffende </t>
    </r>
    <r>
      <rPr>
        <sz val="8"/>
        <color rgb="FFFF0000"/>
        <rFont val="Arial"/>
        <family val="2"/>
      </rPr>
      <t>Wildart</t>
    </r>
    <r>
      <rPr>
        <sz val="8"/>
        <rFont val="Arial"/>
        <family val="2"/>
      </rPr>
      <t xml:space="preserve"> ist in der entsprechenden Spalte/Zeile einzutragen!</t>
    </r>
  </si>
  <si>
    <t>Summe:</t>
  </si>
  <si>
    <t>Bei Bedarf Tabelle erweitern (mit Formeln!)</t>
  </si>
  <si>
    <t>Formel für die Übertragung der Jahresjagdstrecke in die Tabellen Jagdstrecke I und II</t>
  </si>
  <si>
    <t>2033/34</t>
  </si>
  <si>
    <t>2034/35</t>
  </si>
  <si>
    <t>2035/36</t>
  </si>
  <si>
    <t>2036/37</t>
  </si>
  <si>
    <t>2037/38</t>
  </si>
  <si>
    <t>2038/39</t>
  </si>
  <si>
    <t>2039/40</t>
  </si>
  <si>
    <t>2040/41</t>
  </si>
  <si>
    <t>2041/42</t>
  </si>
  <si>
    <t>2042/43</t>
  </si>
  <si>
    <t>2043/44</t>
  </si>
  <si>
    <t>2044/45</t>
  </si>
  <si>
    <t>2045/46</t>
  </si>
  <si>
    <t>2046/47</t>
  </si>
  <si>
    <t>2047/48</t>
  </si>
  <si>
    <t>2048/49</t>
  </si>
  <si>
    <t>2049/50</t>
  </si>
  <si>
    <t>Revier xy</t>
  </si>
  <si>
    <t>Bei Bedarf Tabelle nach unten erweitern!</t>
  </si>
  <si>
    <r>
      <t>SUMMEWENNS(Schussbuch!$H$3:$H$200;Schussbuch!$F$3:$F$200;"</t>
    </r>
    <r>
      <rPr>
        <sz val="9"/>
        <color rgb="FFFF0000"/>
        <rFont val="Arial"/>
        <family val="2"/>
      </rPr>
      <t>Rotwild</t>
    </r>
    <r>
      <rPr>
        <sz val="9"/>
        <color rgb="FF0070C0"/>
        <rFont val="Arial"/>
        <family val="2"/>
      </rPr>
      <t>";Schussbuch!$A$3:$A$200;2026)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</si>
</sst>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</numFmts>
  <fonts count="52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sz val="10"/>
      <name val="Arial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0"/>
      <name val="Calibri"/>
      <family val="2"/>
    </font>
    <font>
      <b/>
      <sz val="14"/>
      <color theme="0"/>
      <name val="Calibri"/>
      <family val="2"/>
    </font>
    <font>
      <sz val="10"/>
      <name val="Arial"/>
      <family val="2"/>
    </font>
    <font>
      <sz val="20"/>
      <color theme="0"/>
      <name val="Calibri"/>
      <family val="2"/>
    </font>
    <font>
      <sz val="12"/>
      <color theme="0"/>
      <name val="Calibri"/>
      <family val="2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24"/>
      <color theme="0"/>
      <name val="Calibri"/>
      <family val="2"/>
    </font>
    <font>
      <sz val="9"/>
      <color theme="0"/>
      <name val="Calibri"/>
      <family val="2"/>
      <scheme val="minor"/>
    </font>
    <font>
      <sz val="20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26"/>
      <name val="Arial"/>
      <family val="2"/>
    </font>
    <font>
      <sz val="18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  <font>
      <b/>
      <sz val="9"/>
      <color theme="0"/>
      <name val="Calibri"/>
      <family val="2"/>
    </font>
    <font>
      <b/>
      <sz val="10"/>
      <color theme="0"/>
      <name val="Calibri"/>
      <family val="2"/>
    </font>
    <font>
      <sz val="12"/>
      <name val="Arial"/>
      <family val="2"/>
    </font>
    <font>
      <b/>
      <sz val="11"/>
      <name val="Arial"/>
      <family val="2"/>
    </font>
    <font>
      <sz val="9"/>
      <color theme="0"/>
      <name val="Calibri"/>
      <family val="2"/>
    </font>
    <font>
      <sz val="22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b/>
      <sz val="18"/>
      <color theme="0"/>
      <name val="Arial"/>
      <family val="2"/>
    </font>
    <font>
      <sz val="9"/>
      <color rgb="FF0070C0"/>
      <name val="Arial"/>
      <family val="2"/>
    </font>
    <font>
      <sz val="9"/>
      <color rgb="FFFF0000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 Black"/>
      <family val="2"/>
    </font>
    <font>
      <b/>
      <sz val="11"/>
      <color theme="1"/>
      <name val="Arial"/>
      <family val="2"/>
    </font>
    <font>
      <sz val="26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5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6" tint="0.39997558519241921"/>
      </left>
      <right/>
      <top style="double">
        <color theme="6"/>
      </top>
      <bottom style="thick">
        <color theme="0"/>
      </bottom>
      <diagonal/>
    </border>
    <border>
      <left/>
      <right/>
      <top style="double">
        <color theme="6"/>
      </top>
      <bottom style="thick">
        <color theme="0"/>
      </bottom>
      <diagonal/>
    </border>
    <border>
      <left style="thin">
        <color theme="0"/>
      </left>
      <right style="thin">
        <color theme="6" tint="0.39997558519241921"/>
      </right>
      <top style="double">
        <color theme="6"/>
      </top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1" fillId="4" borderId="0" applyNumberFormat="0" applyBorder="0" applyAlignment="0" applyProtection="0"/>
    <xf numFmtId="44" fontId="16" fillId="0" borderId="0" applyFont="0" applyFill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</cellStyleXfs>
  <cellXfs count="121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/>
    </xf>
    <xf numFmtId="14" fontId="5" fillId="0" borderId="0" xfId="0" applyNumberFormat="1" applyFont="1"/>
    <xf numFmtId="0" fontId="4" fillId="0" borderId="0" xfId="0" applyFont="1"/>
    <xf numFmtId="0" fontId="5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9" fillId="0" borderId="0" xfId="1" applyFont="1" applyAlignment="1" applyProtection="1"/>
    <xf numFmtId="0" fontId="6" fillId="0" borderId="0" xfId="0" applyFont="1"/>
    <xf numFmtId="0" fontId="10" fillId="0" borderId="0" xfId="0" applyFont="1"/>
    <xf numFmtId="44" fontId="0" fillId="0" borderId="0" xfId="3" applyFont="1"/>
    <xf numFmtId="0" fontId="18" fillId="4" borderId="0" xfId="2" applyFont="1" applyAlignment="1">
      <alignment horizontal="center"/>
    </xf>
    <xf numFmtId="0" fontId="19" fillId="5" borderId="0" xfId="4"/>
    <xf numFmtId="0" fontId="20" fillId="5" borderId="0" xfId="4" applyFont="1"/>
    <xf numFmtId="0" fontId="19" fillId="5" borderId="0" xfId="4" applyAlignment="1">
      <alignment wrapText="1"/>
    </xf>
    <xf numFmtId="0" fontId="19" fillId="5" borderId="0" xfId="4" applyAlignment="1">
      <alignment horizontal="left" wrapText="1"/>
    </xf>
    <xf numFmtId="0" fontId="19" fillId="5" borderId="0" xfId="4" applyAlignment="1">
      <alignment horizontal="center" textRotation="90" wrapText="1"/>
    </xf>
    <xf numFmtId="0" fontId="11" fillId="4" borderId="0" xfId="2"/>
    <xf numFmtId="0" fontId="11" fillId="4" borderId="0" xfId="2" applyAlignment="1">
      <alignment horizontal="left" wrapText="1"/>
    </xf>
    <xf numFmtId="0" fontId="11" fillId="4" borderId="0" xfId="2" applyAlignment="1">
      <alignment horizontal="center"/>
    </xf>
    <xf numFmtId="0" fontId="17" fillId="4" borderId="0" xfId="2" applyFont="1"/>
    <xf numFmtId="0" fontId="11" fillId="4" borderId="0" xfId="2" applyAlignment="1">
      <alignment horizontal="center" wrapText="1"/>
    </xf>
    <xf numFmtId="0" fontId="11" fillId="4" borderId="0" xfId="2" applyAlignment="1">
      <alignment horizontal="center" textRotation="90"/>
    </xf>
    <xf numFmtId="0" fontId="19" fillId="6" borderId="0" xfId="5"/>
    <xf numFmtId="0" fontId="21" fillId="6" borderId="0" xfId="5" applyFont="1"/>
    <xf numFmtId="164" fontId="0" fillId="0" borderId="0" xfId="3" applyNumberFormat="1" applyFont="1"/>
    <xf numFmtId="44" fontId="18" fillId="4" borderId="0" xfId="2" applyNumberFormat="1" applyFont="1" applyAlignment="1">
      <alignment horizontal="center" wrapText="1"/>
    </xf>
    <xf numFmtId="164" fontId="18" fillId="4" borderId="0" xfId="3" applyNumberFormat="1" applyFont="1" applyFill="1" applyAlignment="1">
      <alignment horizontal="center" wrapText="1"/>
    </xf>
    <xf numFmtId="0" fontId="23" fillId="5" borderId="0" xfId="4" applyFont="1"/>
    <xf numFmtId="0" fontId="19" fillId="5" borderId="0" xfId="4" applyAlignment="1">
      <alignment horizontal="center"/>
    </xf>
    <xf numFmtId="0" fontId="24" fillId="7" borderId="7" xfId="0" applyFont="1" applyFill="1" applyBorder="1"/>
    <xf numFmtId="0" fontId="0" fillId="7" borderId="4" xfId="0" applyFill="1" applyBorder="1"/>
    <xf numFmtId="0" fontId="0" fillId="7" borderId="8" xfId="0" applyFill="1" applyBorder="1"/>
    <xf numFmtId="0" fontId="25" fillId="7" borderId="9" xfId="0" applyFont="1" applyFill="1" applyBorder="1"/>
    <xf numFmtId="0" fontId="0" fillId="7" borderId="0" xfId="0" applyFill="1"/>
    <xf numFmtId="0" fontId="0" fillId="7" borderId="10" xfId="0" applyFill="1" applyBorder="1"/>
    <xf numFmtId="0" fontId="0" fillId="7" borderId="9" xfId="0" applyFill="1" applyBorder="1"/>
    <xf numFmtId="0" fontId="10" fillId="7" borderId="0" xfId="0" applyFont="1" applyFill="1"/>
    <xf numFmtId="0" fontId="10" fillId="7" borderId="9" xfId="0" applyFont="1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13" xfId="0" applyFill="1" applyBorder="1"/>
    <xf numFmtId="49" fontId="27" fillId="8" borderId="0" xfId="0" applyNumberFormat="1" applyFont="1" applyFill="1"/>
    <xf numFmtId="0" fontId="0" fillId="8" borderId="0" xfId="0" applyFill="1"/>
    <xf numFmtId="49" fontId="28" fillId="8" borderId="0" xfId="0" applyNumberFormat="1" applyFont="1" applyFill="1"/>
    <xf numFmtId="0" fontId="29" fillId="0" borderId="0" xfId="0" applyFont="1"/>
    <xf numFmtId="14" fontId="10" fillId="0" borderId="0" xfId="0" applyNumberFormat="1" applyFont="1"/>
    <xf numFmtId="0" fontId="0" fillId="0" borderId="0" xfId="0" applyAlignment="1">
      <alignment horizontal="left"/>
    </xf>
    <xf numFmtId="0" fontId="28" fillId="0" borderId="0" xfId="0" applyFont="1"/>
    <xf numFmtId="0" fontId="1" fillId="0" borderId="0" xfId="0" applyFont="1" applyAlignment="1">
      <alignment horizontal="center"/>
    </xf>
    <xf numFmtId="44" fontId="1" fillId="0" borderId="0" xfId="3" applyFont="1" applyAlignment="1">
      <alignment horizontal="center"/>
    </xf>
    <xf numFmtId="0" fontId="30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44" fontId="1" fillId="0" borderId="0" xfId="3" applyFont="1"/>
    <xf numFmtId="0" fontId="3" fillId="9" borderId="0" xfId="0" applyFont="1" applyFill="1"/>
    <xf numFmtId="0" fontId="31" fillId="0" borderId="0" xfId="0" applyFont="1"/>
    <xf numFmtId="0" fontId="25" fillId="2" borderId="2" xfId="0" applyFont="1" applyFill="1" applyBorder="1"/>
    <xf numFmtId="0" fontId="35" fillId="2" borderId="3" xfId="0" applyFont="1" applyFill="1" applyBorder="1"/>
    <xf numFmtId="0" fontId="3" fillId="10" borderId="0" xfId="0" applyFont="1" applyFill="1"/>
    <xf numFmtId="0" fontId="6" fillId="2" borderId="14" xfId="0" applyFont="1" applyFill="1" applyBorder="1" applyAlignment="1">
      <alignment horizontal="center"/>
    </xf>
    <xf numFmtId="0" fontId="3" fillId="11" borderId="0" xfId="0" applyFont="1" applyFill="1"/>
    <xf numFmtId="0" fontId="0" fillId="9" borderId="0" xfId="0" applyFill="1"/>
    <xf numFmtId="0" fontId="37" fillId="11" borderId="0" xfId="0" applyFont="1" applyFill="1"/>
    <xf numFmtId="0" fontId="34" fillId="11" borderId="0" xfId="0" applyFont="1" applyFill="1"/>
    <xf numFmtId="0" fontId="0" fillId="9" borderId="0" xfId="0" applyFill="1" applyAlignment="1">
      <alignment vertical="center"/>
    </xf>
    <xf numFmtId="0" fontId="41" fillId="11" borderId="0" xfId="0" applyFont="1" applyFill="1"/>
    <xf numFmtId="0" fontId="40" fillId="9" borderId="15" xfId="0" applyFont="1" applyFill="1" applyBorder="1"/>
    <xf numFmtId="0" fontId="38" fillId="13" borderId="16" xfId="0" applyFont="1" applyFill="1" applyBorder="1" applyAlignment="1">
      <alignment horizontal="center"/>
    </xf>
    <xf numFmtId="0" fontId="43" fillId="13" borderId="16" xfId="0" applyFont="1" applyFill="1" applyBorder="1" applyAlignment="1">
      <alignment horizontal="center"/>
    </xf>
    <xf numFmtId="0" fontId="39" fillId="10" borderId="0" xfId="0" applyFont="1" applyFill="1" applyAlignment="1">
      <alignment horizontal="center"/>
    </xf>
    <xf numFmtId="0" fontId="43" fillId="13" borderId="15" xfId="0" applyFont="1" applyFill="1" applyBorder="1" applyAlignment="1">
      <alignment horizontal="center"/>
    </xf>
    <xf numFmtId="0" fontId="44" fillId="11" borderId="0" xfId="0" applyFont="1" applyFill="1"/>
    <xf numFmtId="0" fontId="40" fillId="11" borderId="15" xfId="0" applyFont="1" applyFill="1" applyBorder="1"/>
    <xf numFmtId="0" fontId="42" fillId="11" borderId="15" xfId="0" applyFont="1" applyFill="1" applyBorder="1" applyAlignment="1">
      <alignment vertical="center" wrapText="1"/>
    </xf>
    <xf numFmtId="0" fontId="45" fillId="0" borderId="0" xfId="0" applyFont="1"/>
    <xf numFmtId="0" fontId="43" fillId="10" borderId="17" xfId="0" applyFont="1" applyFill="1" applyBorder="1" applyAlignment="1">
      <alignment horizontal="center"/>
    </xf>
    <xf numFmtId="0" fontId="48" fillId="0" borderId="18" xfId="0" applyFont="1" applyBorder="1"/>
    <xf numFmtId="0" fontId="43" fillId="13" borderId="19" xfId="0" applyFont="1" applyFill="1" applyBorder="1" applyAlignment="1">
      <alignment horizontal="center"/>
    </xf>
    <xf numFmtId="0" fontId="7" fillId="0" borderId="0" xfId="0" applyFont="1"/>
    <xf numFmtId="0" fontId="0" fillId="7" borderId="9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10" xfId="0" applyFill="1" applyBorder="1" applyAlignment="1">
      <alignment horizontal="center"/>
    </xf>
    <xf numFmtId="0" fontId="26" fillId="7" borderId="9" xfId="0" applyFont="1" applyFill="1" applyBorder="1" applyAlignment="1">
      <alignment horizontal="center"/>
    </xf>
    <xf numFmtId="0" fontId="26" fillId="7" borderId="0" xfId="0" applyFont="1" applyFill="1" applyAlignment="1">
      <alignment horizontal="center"/>
    </xf>
    <xf numFmtId="0" fontId="26" fillId="7" borderId="10" xfId="0" applyFont="1" applyFill="1" applyBorder="1" applyAlignment="1">
      <alignment horizontal="center"/>
    </xf>
    <xf numFmtId="0" fontId="24" fillId="7" borderId="9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4" fillId="7" borderId="10" xfId="0" applyFont="1" applyFill="1" applyBorder="1" applyAlignment="1">
      <alignment horizontal="center"/>
    </xf>
    <xf numFmtId="0" fontId="18" fillId="4" borderId="0" xfId="2" applyFont="1" applyAlignment="1">
      <alignment horizontal="center" wrapText="1"/>
    </xf>
    <xf numFmtId="0" fontId="22" fillId="4" borderId="0" xfId="2" applyFont="1" applyAlignment="1">
      <alignment horizontal="center"/>
    </xf>
    <xf numFmtId="0" fontId="39" fillId="13" borderId="24" xfId="0" applyFont="1" applyFill="1" applyBorder="1"/>
    <xf numFmtId="0" fontId="14" fillId="4" borderId="20" xfId="2" applyFont="1" applyFill="1" applyBorder="1" applyAlignment="1">
      <alignment horizontal="center"/>
    </xf>
    <xf numFmtId="0" fontId="14" fillId="4" borderId="21" xfId="2" applyFont="1" applyFill="1" applyBorder="1"/>
    <xf numFmtId="0" fontId="14" fillId="4" borderId="21" xfId="2" applyFont="1" applyFill="1" applyBorder="1" applyAlignment="1">
      <alignment horizontal="center"/>
    </xf>
    <xf numFmtId="0" fontId="14" fillId="4" borderId="21" xfId="2" applyFont="1" applyFill="1" applyBorder="1" applyAlignment="1">
      <alignment horizontal="left"/>
    </xf>
    <xf numFmtId="0" fontId="32" fillId="4" borderId="21" xfId="2" applyFont="1" applyFill="1" applyBorder="1" applyAlignment="1">
      <alignment wrapText="1"/>
    </xf>
    <xf numFmtId="0" fontId="33" fillId="4" borderId="21" xfId="2" applyFont="1" applyFill="1" applyBorder="1" applyAlignment="1">
      <alignment horizontal="center" wrapText="1"/>
    </xf>
    <xf numFmtId="0" fontId="15" fillId="4" borderId="22" xfId="2" applyFont="1" applyFill="1" applyBorder="1" applyAlignment="1">
      <alignment horizontal="center"/>
    </xf>
    <xf numFmtId="0" fontId="39" fillId="13" borderId="20" xfId="0" applyFont="1" applyFill="1" applyBorder="1" applyAlignment="1">
      <alignment horizontal="center" vertical="center"/>
    </xf>
    <xf numFmtId="14" fontId="39" fillId="13" borderId="21" xfId="0" applyNumberFormat="1" applyFont="1" applyFill="1" applyBorder="1" applyAlignment="1">
      <alignment horizontal="center" vertical="center"/>
    </xf>
    <xf numFmtId="0" fontId="39" fillId="13" borderId="21" xfId="0" applyFont="1" applyFill="1" applyBorder="1" applyAlignment="1">
      <alignment horizontal="center" vertical="center"/>
    </xf>
    <xf numFmtId="0" fontId="39" fillId="3" borderId="21" xfId="0" applyFont="1" applyFill="1" applyBorder="1" applyAlignment="1">
      <alignment horizontal="center" vertical="center"/>
    </xf>
    <xf numFmtId="0" fontId="39" fillId="12" borderId="21" xfId="0" applyFont="1" applyFill="1" applyBorder="1" applyAlignment="1">
      <alignment horizontal="left" vertical="center"/>
    </xf>
    <xf numFmtId="0" fontId="49" fillId="13" borderId="21" xfId="0" applyFont="1" applyFill="1" applyBorder="1" applyAlignment="1">
      <alignment horizontal="center" vertical="center"/>
    </xf>
    <xf numFmtId="0" fontId="39" fillId="13" borderId="22" xfId="0" applyFont="1" applyFill="1" applyBorder="1" applyAlignment="1">
      <alignment horizontal="left" vertical="center"/>
    </xf>
    <xf numFmtId="0" fontId="39" fillId="14" borderId="20" xfId="0" applyFont="1" applyFill="1" applyBorder="1" applyAlignment="1">
      <alignment horizontal="center" vertical="center"/>
    </xf>
    <xf numFmtId="14" fontId="39" fillId="14" borderId="21" xfId="0" applyNumberFormat="1" applyFont="1" applyFill="1" applyBorder="1" applyAlignment="1">
      <alignment horizontal="center" vertical="center"/>
    </xf>
    <xf numFmtId="0" fontId="39" fillId="14" borderId="21" xfId="0" applyFont="1" applyFill="1" applyBorder="1" applyAlignment="1">
      <alignment horizontal="center" vertical="center"/>
    </xf>
    <xf numFmtId="0" fontId="49" fillId="14" borderId="21" xfId="0" applyFont="1" applyFill="1" applyBorder="1" applyAlignment="1">
      <alignment horizontal="center" vertical="center"/>
    </xf>
    <xf numFmtId="0" fontId="39" fillId="14" borderId="22" xfId="0" applyFont="1" applyFill="1" applyBorder="1" applyAlignment="1">
      <alignment horizontal="left" vertical="center"/>
    </xf>
    <xf numFmtId="0" fontId="39" fillId="13" borderId="23" xfId="0" applyFont="1" applyFill="1" applyBorder="1" applyAlignment="1">
      <alignment horizontal="center"/>
    </xf>
    <xf numFmtId="0" fontId="39" fillId="13" borderId="24" xfId="0" applyFont="1" applyFill="1" applyBorder="1" applyAlignment="1">
      <alignment horizontal="center"/>
    </xf>
    <xf numFmtId="0" fontId="39" fillId="3" borderId="24" xfId="0" applyFont="1" applyFill="1" applyBorder="1"/>
    <xf numFmtId="0" fontId="39" fillId="3" borderId="24" xfId="0" applyFont="1" applyFill="1" applyBorder="1" applyAlignment="1">
      <alignment horizontal="left" vertical="center"/>
    </xf>
    <xf numFmtId="0" fontId="50" fillId="13" borderId="24" xfId="0" applyFont="1" applyFill="1" applyBorder="1" applyAlignment="1">
      <alignment horizontal="center"/>
    </xf>
    <xf numFmtId="0" fontId="39" fillId="13" borderId="16" xfId="0" applyFont="1" applyFill="1" applyBorder="1" applyAlignment="1">
      <alignment horizontal="left"/>
    </xf>
    <xf numFmtId="0" fontId="51" fillId="15" borderId="25" xfId="0" applyFont="1" applyFill="1" applyBorder="1" applyAlignment="1">
      <alignment horizontal="center"/>
    </xf>
  </cellXfs>
  <cellStyles count="6">
    <cellStyle name="60 % - Akzent3" xfId="4" builtinId="40"/>
    <cellStyle name="Akzent2" xfId="5" builtinId="33"/>
    <cellStyle name="Akzent3" xfId="2" builtinId="37"/>
    <cellStyle name="Link" xfId="1" builtinId="8"/>
    <cellStyle name="Standard" xfId="0" builtinId="0"/>
    <cellStyle name="Währung" xfId="3" builtinId="4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top style="thick">
          <color theme="0"/>
        </top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6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1" defaultTableStyle="TableStyleMedium9" defaultPivotStyle="PivotStyleLight16">
    <tableStyle name="Invisible" pivot="0" table="0" count="0" xr9:uid="{FB9AD57C-7859-405D-AAD4-F8DEB70D95DF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1.xml"/><Relationship Id="rId12" Type="http://schemas.openxmlformats.org/officeDocument/2006/relationships/worksheet" Target="worksheets/sheet1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10" Type="http://schemas.openxmlformats.org/officeDocument/2006/relationships/worksheet" Target="worksheets/sheet9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>
                <a:solidFill>
                  <a:srgbClr val="92D050"/>
                </a:solidFill>
              </a:rPr>
              <a:t>Jagdstrecke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56"/>
          <c:order val="0"/>
          <c:tx>
            <c:strRef>
              <c:f>'Strecke II'!$A$30</c:f>
              <c:strCache>
                <c:ptCount val="1"/>
                <c:pt idx="0">
                  <c:v>Ergebnis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'Strecke II'!$B$2:$V$2</c:f>
              <c:strCache>
                <c:ptCount val="21"/>
                <c:pt idx="0">
                  <c:v>Rotwild</c:v>
                </c:pt>
                <c:pt idx="1">
                  <c:v>Schwarzwild</c:v>
                </c:pt>
                <c:pt idx="2">
                  <c:v>Rehwild</c:v>
                </c:pt>
                <c:pt idx="3">
                  <c:v>Gamswild</c:v>
                </c:pt>
                <c:pt idx="4">
                  <c:v>Damwild</c:v>
                </c:pt>
                <c:pt idx="5">
                  <c:v>Muffelwild</c:v>
                </c:pt>
                <c:pt idx="6">
                  <c:v>Hase</c:v>
                </c:pt>
                <c:pt idx="7">
                  <c:v>Kanin</c:v>
                </c:pt>
                <c:pt idx="8">
                  <c:v>Fuchs</c:v>
                </c:pt>
                <c:pt idx="9">
                  <c:v>Marder</c:v>
                </c:pt>
                <c:pt idx="10">
                  <c:v>Fasan</c:v>
                </c:pt>
                <c:pt idx="11">
                  <c:v>Gans</c:v>
                </c:pt>
                <c:pt idx="12">
                  <c:v>Ente</c:v>
                </c:pt>
                <c:pt idx="13">
                  <c:v>Schnepfe</c:v>
                </c:pt>
                <c:pt idx="14">
                  <c:v>Ringeltaube</c:v>
                </c:pt>
                <c:pt idx="15">
                  <c:v>Eichelhäher</c:v>
                </c:pt>
                <c:pt idx="16">
                  <c:v>Krähe</c:v>
                </c:pt>
                <c:pt idx="17">
                  <c:v>Elster</c:v>
                </c:pt>
                <c:pt idx="18">
                  <c:v>Katze</c:v>
                </c:pt>
                <c:pt idx="19">
                  <c:v>Hund</c:v>
                </c:pt>
                <c:pt idx="20">
                  <c:v>Summe </c:v>
                </c:pt>
              </c:strCache>
            </c:strRef>
          </c:cat>
          <c:val>
            <c:numRef>
              <c:f>'Strecke II'!$B$30:$V$30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F-95A7-4E3F-8FE0-89AED5D7E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8501615"/>
        <c:axId val="565335583"/>
      </c:barChart>
      <c:catAx>
        <c:axId val="7485016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65335583"/>
        <c:crosses val="autoZero"/>
        <c:auto val="1"/>
        <c:lblAlgn val="ctr"/>
        <c:lblOffset val="100"/>
        <c:noMultiLvlLbl val="0"/>
      </c:catAx>
      <c:valAx>
        <c:axId val="565335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Stücke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48501615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dTable>
      <c:spPr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602CBB9-9D10-424D-8140-48783F0E1EE7}">
  <sheetPr/>
  <sheetViews>
    <sheetView zoomScale="126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101600</xdr:colOff>
      <xdr:row>2</xdr:row>
      <xdr:rowOff>95250</xdr:rowOff>
    </xdr:from>
    <xdr:to>
      <xdr:col>8</xdr:col>
      <xdr:colOff>450850</xdr:colOff>
      <xdr:row>8</xdr:row>
      <xdr:rowOff>108024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5600" y="603250"/>
          <a:ext cx="1111250" cy="12637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739284</xdr:colOff>
      <xdr:row>15</xdr:row>
      <xdr:rowOff>108604</xdr:rowOff>
    </xdr:from>
    <xdr:to>
      <xdr:col>6</xdr:col>
      <xdr:colOff>583315</xdr:colOff>
      <xdr:row>20</xdr:row>
      <xdr:rowOff>76448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DACAA97B-8AE0-DB38-65C6-EF57B3754243}"/>
            </a:ext>
          </a:extLst>
        </xdr:cNvPr>
        <xdr:cNvSpPr txBox="1"/>
      </xdr:nvSpPr>
      <xdr:spPr>
        <a:xfrm rot="19598611">
          <a:off x="1501284" y="2670829"/>
          <a:ext cx="3654031" cy="7774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2000" kern="1200"/>
            <a:t>hier die Revierkarte einfügen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10</xdr:row>
      <xdr:rowOff>9525</xdr:rowOff>
    </xdr:from>
    <xdr:to>
      <xdr:col>6</xdr:col>
      <xdr:colOff>1076325</xdr:colOff>
      <xdr:row>12</xdr:row>
      <xdr:rowOff>161925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8E1AC521-DA65-450E-B2EE-3BE60E9F5A7A}"/>
            </a:ext>
          </a:extLst>
        </xdr:cNvPr>
        <xdr:cNvSpPr txBox="1"/>
      </xdr:nvSpPr>
      <xdr:spPr>
        <a:xfrm rot="19146434">
          <a:off x="3667125" y="3181350"/>
          <a:ext cx="241935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3600" kern="1200"/>
            <a:t>Beispiel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1738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4C60994-6A21-4C2F-B5DA-3C388AD0672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075731-353C-492E-9669-903756A1E5E0}" name="Tabelle3" displayName="Tabelle3" ref="A2:V29" totalsRowCount="1" headerRowDxfId="3" tableBorderDxfId="2">
  <autoFilter ref="A2:V28" xr:uid="{28BF57B1-F5E4-4694-B8E7-79890216AB7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tableColumns count="22">
    <tableColumn id="1" xr3:uid="{ACCB6123-DCB2-4A7E-9987-E856DA0C6856}" name="Jagdjahr" dataDxfId="1"/>
    <tableColumn id="2" xr3:uid="{5C9A0F6B-3A58-46A0-AF54-DCABB7E6FD80}" name="Rotwild"/>
    <tableColumn id="3" xr3:uid="{F42FA83C-4835-4777-B30B-EA55A05D8A8B}" name="Schwarzwild"/>
    <tableColumn id="4" xr3:uid="{0F28D805-6FEC-4168-B75E-4B574CA36474}" name="Rehwild"/>
    <tableColumn id="5" xr3:uid="{696CCA0F-FE92-4513-BF48-E8B445283686}" name="Gamswild"/>
    <tableColumn id="6" xr3:uid="{ECD56856-E29D-41A5-9171-2DAC8A2C2476}" name="Damwild"/>
    <tableColumn id="7" xr3:uid="{F89607BA-FE5C-412A-A14E-0D6F38B29DF5}" name="Muffelwild"/>
    <tableColumn id="8" xr3:uid="{1BE5E6BD-57ED-41A4-9409-6E9F1B2A4C7D}" name="Hase"/>
    <tableColumn id="9" xr3:uid="{996213CC-41D3-4C79-8171-5CA43CFDC3F1}" name="Kanin"/>
    <tableColumn id="10" xr3:uid="{C26D7418-EA7F-409E-8C84-3AA562C82E8C}" name="Fuchs"/>
    <tableColumn id="11" xr3:uid="{DE129E46-D514-403D-8699-8731D7E8EA07}" name="Marder"/>
    <tableColumn id="12" xr3:uid="{C44B49DC-A1CD-40E9-9849-62EC5E6CF60A}" name="Fasan"/>
    <tableColumn id="13" xr3:uid="{83F6D6C5-472A-4941-9C49-5F129941B9D7}" name="Gans"/>
    <tableColumn id="14" xr3:uid="{2FD02208-8296-496C-9173-BCE44009B902}" name="Ente"/>
    <tableColumn id="15" xr3:uid="{A522210B-2784-4420-91D2-DB67DE6C0EE7}" name="Schnepfe"/>
    <tableColumn id="16" xr3:uid="{5B6E0064-AA86-4CD9-98FB-25F21376E489}" name="Ringeltaube"/>
    <tableColumn id="17" xr3:uid="{3EE490B3-FA8D-498C-9E40-A8DB0CBECEF9}" name="Eichelhäher"/>
    <tableColumn id="18" xr3:uid="{A77F6D2B-C665-4438-8452-B45C0EF43C00}" name="Krähe"/>
    <tableColumn id="19" xr3:uid="{59282540-41DF-4FC2-8E94-D1524E11940A}" name="Elster"/>
    <tableColumn id="20" xr3:uid="{EA4888E3-E8D1-4BDA-8A58-56832AAD09CD}" name="Katze"/>
    <tableColumn id="21" xr3:uid="{BC10A23B-633A-4BF3-BF78-203325794866}" name="Hund"/>
    <tableColumn id="22" xr3:uid="{770FFC93-62AA-4B3E-903C-52C7B66B35B1}" name="Summe " dataDxfId="0">
      <calculatedColumnFormula>SUM(B3:U3)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showRowColHeaders="0" zoomScale="150" zoomScaleNormal="150" workbookViewId="0">
      <selection activeCell="L8" sqref="L8"/>
    </sheetView>
  </sheetViews>
  <sheetFormatPr baseColWidth="10" defaultRowHeight="12.75" x14ac:dyDescent="0.2"/>
  <sheetData>
    <row r="1" spans="1:9" ht="25.5" x14ac:dyDescent="0.35">
      <c r="A1" s="33" t="s">
        <v>88</v>
      </c>
      <c r="B1" s="34"/>
      <c r="C1" s="34"/>
      <c r="D1" s="34"/>
      <c r="E1" s="34"/>
      <c r="F1" s="34"/>
      <c r="G1" s="34"/>
      <c r="H1" s="34"/>
      <c r="I1" s="35"/>
    </row>
    <row r="2" spans="1:9" ht="14.25" x14ac:dyDescent="0.2">
      <c r="A2" s="36" t="s">
        <v>89</v>
      </c>
      <c r="B2" s="37"/>
      <c r="C2" s="37"/>
      <c r="D2" s="37"/>
      <c r="E2" s="37"/>
      <c r="F2" s="37"/>
      <c r="G2" s="37"/>
      <c r="H2" s="37"/>
      <c r="I2" s="38"/>
    </row>
    <row r="3" spans="1:9" ht="14.25" x14ac:dyDescent="0.2">
      <c r="A3" s="36" t="s">
        <v>102</v>
      </c>
      <c r="B3" s="37"/>
      <c r="C3" s="37"/>
      <c r="D3" s="37"/>
      <c r="E3" s="37"/>
      <c r="F3" s="37"/>
      <c r="G3" s="37"/>
      <c r="H3" s="37"/>
      <c r="I3" s="38"/>
    </row>
    <row r="4" spans="1:9" x14ac:dyDescent="0.2">
      <c r="A4" s="39"/>
      <c r="B4" s="37"/>
      <c r="C4" s="37"/>
      <c r="D4" s="37"/>
      <c r="E4" s="37"/>
      <c r="F4" s="37"/>
      <c r="G4" s="37"/>
      <c r="H4" s="37"/>
      <c r="I4" s="38"/>
    </row>
    <row r="5" spans="1:9" ht="18" x14ac:dyDescent="0.25">
      <c r="A5" s="86" t="s">
        <v>71</v>
      </c>
      <c r="B5" s="87"/>
      <c r="C5" s="87"/>
      <c r="D5" s="87"/>
      <c r="E5" s="87"/>
      <c r="F5" s="87"/>
      <c r="G5" s="87"/>
      <c r="H5" s="87"/>
      <c r="I5" s="88"/>
    </row>
    <row r="6" spans="1:9" ht="25.5" x14ac:dyDescent="0.35">
      <c r="A6" s="89" t="s">
        <v>72</v>
      </c>
      <c r="B6" s="90"/>
      <c r="C6" s="90"/>
      <c r="D6" s="90"/>
      <c r="E6" s="90"/>
      <c r="F6" s="90"/>
      <c r="G6" s="90"/>
      <c r="H6" s="90"/>
      <c r="I6" s="91"/>
    </row>
    <row r="7" spans="1:9" x14ac:dyDescent="0.2">
      <c r="A7" s="39"/>
      <c r="B7" s="37"/>
      <c r="C7" s="37"/>
      <c r="D7" s="37"/>
      <c r="E7" s="37"/>
      <c r="F7" s="37"/>
      <c r="G7" s="37"/>
      <c r="H7" s="37"/>
      <c r="I7" s="38"/>
    </row>
    <row r="8" spans="1:9" ht="14.25" x14ac:dyDescent="0.2">
      <c r="A8" s="36" t="s">
        <v>73</v>
      </c>
      <c r="B8" s="37"/>
      <c r="C8" s="37"/>
      <c r="D8" s="37"/>
      <c r="E8" s="37"/>
      <c r="F8" s="37"/>
      <c r="G8" s="37"/>
      <c r="H8" s="37"/>
      <c r="I8" s="38"/>
    </row>
    <row r="9" spans="1:9" x14ac:dyDescent="0.2">
      <c r="A9" s="39" t="s">
        <v>74</v>
      </c>
      <c r="B9" s="37"/>
      <c r="C9" s="37"/>
      <c r="D9" s="37" t="s">
        <v>75</v>
      </c>
      <c r="E9" s="37"/>
      <c r="F9" s="37"/>
      <c r="G9" s="37"/>
      <c r="H9" s="37"/>
      <c r="I9" s="38"/>
    </row>
    <row r="10" spans="1:9" x14ac:dyDescent="0.2">
      <c r="A10" s="39" t="s">
        <v>76</v>
      </c>
      <c r="B10" s="37"/>
      <c r="C10" s="37"/>
      <c r="D10" s="37" t="s">
        <v>77</v>
      </c>
      <c r="E10" s="37"/>
      <c r="F10" s="37"/>
      <c r="G10" s="37"/>
      <c r="H10" s="37"/>
      <c r="I10" s="38"/>
    </row>
    <row r="11" spans="1:9" x14ac:dyDescent="0.2">
      <c r="A11" s="39" t="s">
        <v>90</v>
      </c>
      <c r="B11" s="37"/>
      <c r="C11" s="37"/>
      <c r="D11" s="37" t="s">
        <v>93</v>
      </c>
      <c r="E11" s="37"/>
      <c r="F11" s="37"/>
      <c r="G11" s="37"/>
      <c r="H11" s="37"/>
      <c r="I11" s="38"/>
    </row>
    <row r="12" spans="1:9" x14ac:dyDescent="0.2">
      <c r="A12" s="41" t="s">
        <v>106</v>
      </c>
      <c r="B12" s="37"/>
      <c r="C12" s="37"/>
      <c r="D12" s="40" t="s">
        <v>107</v>
      </c>
      <c r="E12" s="37"/>
      <c r="F12" s="37"/>
      <c r="G12" s="37"/>
      <c r="H12" s="37"/>
      <c r="I12" s="38"/>
    </row>
    <row r="13" spans="1:9" x14ac:dyDescent="0.2">
      <c r="A13" s="39" t="s">
        <v>46</v>
      </c>
      <c r="B13" s="37"/>
      <c r="C13" s="37"/>
      <c r="D13" s="40" t="s">
        <v>94</v>
      </c>
      <c r="E13" s="37"/>
      <c r="F13" s="37"/>
      <c r="G13" s="37"/>
      <c r="H13" s="37"/>
      <c r="I13" s="38"/>
    </row>
    <row r="14" spans="1:9" x14ac:dyDescent="0.2">
      <c r="A14" s="39" t="s">
        <v>91</v>
      </c>
      <c r="B14" s="37"/>
      <c r="C14" s="37"/>
      <c r="D14" s="37" t="s">
        <v>95</v>
      </c>
      <c r="E14" s="37"/>
      <c r="F14" s="37"/>
      <c r="G14" s="37"/>
      <c r="H14" s="37"/>
      <c r="I14" s="38"/>
    </row>
    <row r="15" spans="1:9" x14ac:dyDescent="0.2">
      <c r="A15" s="41" t="s">
        <v>92</v>
      </c>
      <c r="B15" s="37"/>
      <c r="C15" s="37"/>
      <c r="D15" s="37" t="s">
        <v>96</v>
      </c>
      <c r="E15" s="37"/>
      <c r="F15" s="37"/>
      <c r="G15" s="37"/>
      <c r="H15" s="37"/>
      <c r="I15" s="38"/>
    </row>
    <row r="16" spans="1:9" x14ac:dyDescent="0.2">
      <c r="A16" s="39" t="s">
        <v>60</v>
      </c>
      <c r="B16" s="37"/>
      <c r="C16" s="37"/>
      <c r="D16" s="37" t="s">
        <v>97</v>
      </c>
      <c r="E16" s="37"/>
      <c r="F16" s="37"/>
      <c r="G16" s="37"/>
      <c r="H16" s="37"/>
      <c r="I16" s="38"/>
    </row>
    <row r="17" spans="1:9" x14ac:dyDescent="0.2">
      <c r="A17" s="39" t="s">
        <v>0</v>
      </c>
      <c r="B17" s="37"/>
      <c r="C17" s="37"/>
      <c r="D17" s="37" t="s">
        <v>98</v>
      </c>
      <c r="E17" s="37"/>
      <c r="F17" s="37"/>
      <c r="G17" s="37"/>
      <c r="H17" s="37"/>
      <c r="I17" s="38"/>
    </row>
    <row r="18" spans="1:9" x14ac:dyDescent="0.2">
      <c r="A18" s="39" t="s">
        <v>53</v>
      </c>
      <c r="B18" s="37"/>
      <c r="C18" s="37"/>
      <c r="D18" s="37" t="s">
        <v>99</v>
      </c>
      <c r="E18" s="37"/>
      <c r="F18" s="37"/>
      <c r="G18" s="37"/>
      <c r="H18" s="37"/>
      <c r="I18" s="38"/>
    </row>
    <row r="19" spans="1:9" x14ac:dyDescent="0.2">
      <c r="A19" s="37" t="s">
        <v>68</v>
      </c>
      <c r="B19" s="37"/>
      <c r="C19" s="37"/>
      <c r="D19" s="37" t="s">
        <v>100</v>
      </c>
      <c r="E19" s="37"/>
      <c r="F19" s="37"/>
      <c r="G19" s="37"/>
      <c r="H19" s="37"/>
      <c r="I19" s="38"/>
    </row>
    <row r="20" spans="1:9" x14ac:dyDescent="0.2">
      <c r="A20" s="39" t="s">
        <v>18</v>
      </c>
      <c r="B20" s="37"/>
      <c r="C20" s="37"/>
      <c r="D20" s="37" t="s">
        <v>101</v>
      </c>
      <c r="E20" s="37"/>
      <c r="F20" s="37"/>
      <c r="G20" s="37"/>
      <c r="H20" s="37"/>
      <c r="I20" s="38"/>
    </row>
    <row r="21" spans="1:9" x14ac:dyDescent="0.2">
      <c r="A21" s="39"/>
      <c r="B21" s="37"/>
      <c r="C21" s="37"/>
      <c r="D21" s="37"/>
      <c r="E21" s="37"/>
      <c r="F21" s="37"/>
      <c r="G21" s="37"/>
      <c r="H21" s="37"/>
      <c r="I21" s="38"/>
    </row>
    <row r="22" spans="1:9" x14ac:dyDescent="0.2">
      <c r="A22" s="83" t="s">
        <v>78</v>
      </c>
      <c r="B22" s="84"/>
      <c r="C22" s="84"/>
      <c r="D22" s="84"/>
      <c r="E22" s="84"/>
      <c r="F22" s="84"/>
      <c r="G22" s="84"/>
      <c r="H22" s="84"/>
      <c r="I22" s="85"/>
    </row>
    <row r="23" spans="1:9" x14ac:dyDescent="0.2">
      <c r="A23" s="83" t="s">
        <v>79</v>
      </c>
      <c r="B23" s="84"/>
      <c r="C23" s="84"/>
      <c r="D23" s="84"/>
      <c r="E23" s="84"/>
      <c r="F23" s="84"/>
      <c r="G23" s="84"/>
      <c r="H23" s="84"/>
      <c r="I23" s="85"/>
    </row>
    <row r="24" spans="1:9" x14ac:dyDescent="0.2">
      <c r="A24" s="83" t="s">
        <v>80</v>
      </c>
      <c r="B24" s="84"/>
      <c r="C24" s="84"/>
      <c r="D24" s="84"/>
      <c r="E24" s="84"/>
      <c r="F24" s="84"/>
      <c r="G24" s="84"/>
      <c r="H24" s="84"/>
      <c r="I24" s="85"/>
    </row>
    <row r="25" spans="1:9" x14ac:dyDescent="0.2">
      <c r="A25" s="83" t="s">
        <v>81</v>
      </c>
      <c r="B25" s="84"/>
      <c r="C25" s="84"/>
      <c r="D25" s="84"/>
      <c r="E25" s="84"/>
      <c r="F25" s="84"/>
      <c r="G25" s="84"/>
      <c r="H25" s="84"/>
      <c r="I25" s="85"/>
    </row>
    <row r="26" spans="1:9" x14ac:dyDescent="0.2">
      <c r="A26" s="83" t="s">
        <v>82</v>
      </c>
      <c r="B26" s="84"/>
      <c r="C26" s="84"/>
      <c r="D26" s="84"/>
      <c r="E26" s="84"/>
      <c r="F26" s="84"/>
      <c r="G26" s="84"/>
      <c r="H26" s="84"/>
      <c r="I26" s="85"/>
    </row>
    <row r="27" spans="1:9" x14ac:dyDescent="0.2">
      <c r="A27" s="83" t="s">
        <v>83</v>
      </c>
      <c r="B27" s="84"/>
      <c r="C27" s="84"/>
      <c r="D27" s="84"/>
      <c r="E27" s="84"/>
      <c r="F27" s="84"/>
      <c r="G27" s="84"/>
      <c r="H27" s="84"/>
      <c r="I27" s="85"/>
    </row>
    <row r="28" spans="1:9" x14ac:dyDescent="0.2">
      <c r="A28" s="42"/>
      <c r="B28" s="43"/>
      <c r="C28" s="43"/>
      <c r="D28" s="43"/>
      <c r="E28" s="43"/>
      <c r="F28" s="43"/>
      <c r="G28" s="43"/>
      <c r="H28" s="43"/>
      <c r="I28" s="44"/>
    </row>
  </sheetData>
  <mergeCells count="8">
    <mergeCell ref="A26:I26"/>
    <mergeCell ref="A27:I27"/>
    <mergeCell ref="A5:I5"/>
    <mergeCell ref="A6:I6"/>
    <mergeCell ref="A22:I22"/>
    <mergeCell ref="A23:I23"/>
    <mergeCell ref="A24:I24"/>
    <mergeCell ref="A25:I2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zoomScale="150" zoomScaleNormal="150" workbookViewId="0">
      <selection activeCell="A13" sqref="A13"/>
    </sheetView>
  </sheetViews>
  <sheetFormatPr baseColWidth="10" defaultRowHeight="12.75" x14ac:dyDescent="0.2"/>
  <cols>
    <col min="1" max="1" width="14.85546875" customWidth="1"/>
  </cols>
  <sheetData>
    <row r="1" spans="1:7" ht="33" x14ac:dyDescent="0.45">
      <c r="A1" s="45" t="s">
        <v>84</v>
      </c>
      <c r="B1" s="46"/>
      <c r="C1" s="46"/>
      <c r="D1" s="46"/>
      <c r="E1" s="46"/>
      <c r="F1" s="46"/>
    </row>
    <row r="2" spans="1:7" ht="23.25" x14ac:dyDescent="0.35">
      <c r="A2" s="47" t="s">
        <v>85</v>
      </c>
      <c r="B2" s="46"/>
      <c r="C2" s="46"/>
      <c r="D2" s="46"/>
      <c r="E2" s="46"/>
      <c r="F2" s="46"/>
    </row>
    <row r="3" spans="1:7" x14ac:dyDescent="0.2">
      <c r="A3" s="48" t="s">
        <v>74</v>
      </c>
      <c r="B3" s="12" t="s">
        <v>86</v>
      </c>
    </row>
    <row r="4" spans="1:7" x14ac:dyDescent="0.2">
      <c r="A4" s="48" t="s">
        <v>76</v>
      </c>
      <c r="B4" s="12" t="s">
        <v>87</v>
      </c>
    </row>
    <row r="7" spans="1:7" x14ac:dyDescent="0.2">
      <c r="A7" s="52" t="s">
        <v>48</v>
      </c>
      <c r="B7" t="s">
        <v>112</v>
      </c>
    </row>
    <row r="8" spans="1:7" x14ac:dyDescent="0.2">
      <c r="A8" s="52" t="s">
        <v>49</v>
      </c>
      <c r="B8" t="s">
        <v>113</v>
      </c>
    </row>
    <row r="11" spans="1:7" x14ac:dyDescent="0.2">
      <c r="A11" s="12" t="s">
        <v>140</v>
      </c>
    </row>
    <row r="12" spans="1:7" x14ac:dyDescent="0.2">
      <c r="A12" s="78" t="s">
        <v>160</v>
      </c>
    </row>
    <row r="13" spans="1:7" x14ac:dyDescent="0.2">
      <c r="A13" s="1" t="s">
        <v>137</v>
      </c>
      <c r="B13" s="1"/>
      <c r="C13" s="1"/>
      <c r="D13" s="1"/>
      <c r="E13" s="1"/>
      <c r="F13" s="1"/>
      <c r="G13" s="1"/>
    </row>
    <row r="14" spans="1:7" x14ac:dyDescent="0.2">
      <c r="A14" s="1"/>
      <c r="B14" s="1"/>
      <c r="C14" s="1"/>
      <c r="D14" s="1"/>
      <c r="E14" s="1"/>
      <c r="F14" s="1"/>
      <c r="G14" s="1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"/>
  <sheetViews>
    <sheetView workbookViewId="0">
      <selection activeCell="E31" sqref="E31"/>
    </sheetView>
  </sheetViews>
  <sheetFormatPr baseColWidth="10" defaultRowHeight="12.75" x14ac:dyDescent="0.2"/>
  <cols>
    <col min="11" max="11" width="14.28515625" customWidth="1"/>
  </cols>
  <sheetData>
    <row r="1" spans="1:12" ht="20.25" x14ac:dyDescent="0.3">
      <c r="A1" s="54"/>
    </row>
    <row r="2" spans="1:12" x14ac:dyDescent="0.2">
      <c r="L2" t="s">
        <v>158</v>
      </c>
    </row>
    <row r="3" spans="1:12" x14ac:dyDescent="0.2">
      <c r="L3" t="s">
        <v>109</v>
      </c>
    </row>
    <row r="4" spans="1:12" x14ac:dyDescent="0.2">
      <c r="L4" t="s">
        <v>110</v>
      </c>
    </row>
    <row r="6" spans="1:12" ht="15.75" x14ac:dyDescent="0.25">
      <c r="L6" s="3" t="s">
        <v>111</v>
      </c>
    </row>
  </sheetData>
  <pageMargins left="0.70866141732283472" right="0.31496062992125984" top="0.59055118110236227" bottom="0.39370078740157483" header="0.31496062992125984" footer="0.31496062992125984"/>
  <pageSetup paperSize="9" scale="87" orientation="landscape" r:id="rId1"/>
  <headerFooter>
    <oddHeader>&amp;LÜbersichtskarte Revier Sternfeld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4"/>
  <sheetViews>
    <sheetView workbookViewId="0">
      <pane ySplit="1" topLeftCell="A2" activePane="bottomLeft" state="frozen"/>
      <selection pane="bottomLeft" activeCell="I9" sqref="I9"/>
    </sheetView>
  </sheetViews>
  <sheetFormatPr baseColWidth="10" defaultRowHeight="12.75" x14ac:dyDescent="0.2"/>
  <cols>
    <col min="1" max="1" width="15.42578125" style="4" customWidth="1"/>
    <col min="2" max="2" width="10.42578125" style="4" customWidth="1"/>
    <col min="3" max="3" width="6.140625" style="4" customWidth="1"/>
    <col min="4" max="4" width="17.42578125" style="4" bestFit="1" customWidth="1"/>
    <col min="5" max="5" width="16.28515625" style="4" customWidth="1"/>
    <col min="6" max="6" width="12.85546875" style="4" customWidth="1"/>
    <col min="7" max="7" width="13.85546875" style="4" customWidth="1"/>
    <col min="8" max="8" width="13.42578125" style="4" customWidth="1"/>
    <col min="9" max="9" width="19.5703125" style="1" customWidth="1"/>
    <col min="10" max="10" width="20" style="1" customWidth="1"/>
    <col min="11" max="11" width="19.42578125" style="4" customWidth="1"/>
    <col min="12" max="12" width="10.28515625" style="4" customWidth="1"/>
  </cols>
  <sheetData>
    <row r="1" spans="1:12" x14ac:dyDescent="0.2">
      <c r="A1" s="11" t="s">
        <v>32</v>
      </c>
      <c r="B1" s="11" t="s">
        <v>33</v>
      </c>
      <c r="C1" s="11" t="s">
        <v>34</v>
      </c>
      <c r="D1" s="11" t="s">
        <v>4</v>
      </c>
      <c r="E1" s="11" t="s">
        <v>35</v>
      </c>
      <c r="F1" s="11" t="s">
        <v>36</v>
      </c>
      <c r="G1" s="11" t="s">
        <v>37</v>
      </c>
      <c r="H1" s="11" t="s">
        <v>38</v>
      </c>
      <c r="I1" s="7" t="s">
        <v>39</v>
      </c>
      <c r="J1" s="7" t="s">
        <v>40</v>
      </c>
      <c r="K1" s="11" t="s">
        <v>7</v>
      </c>
      <c r="L1" s="4" t="s">
        <v>50</v>
      </c>
    </row>
    <row r="3" spans="1:12" x14ac:dyDescent="0.2">
      <c r="L3" s="6"/>
    </row>
    <row r="4" spans="1:12" x14ac:dyDescent="0.2">
      <c r="L4" s="6"/>
    </row>
    <row r="5" spans="1:12" x14ac:dyDescent="0.2">
      <c r="L5" s="6"/>
    </row>
    <row r="6" spans="1:12" x14ac:dyDescent="0.2">
      <c r="L6" s="6"/>
    </row>
    <row r="7" spans="1:12" x14ac:dyDescent="0.2">
      <c r="L7" s="6"/>
    </row>
    <row r="11" spans="1:12" x14ac:dyDescent="0.2">
      <c r="L11" s="6"/>
    </row>
    <row r="14" spans="1:12" x14ac:dyDescent="0.2">
      <c r="L14" s="6"/>
    </row>
    <row r="21" spans="9:12" x14ac:dyDescent="0.2">
      <c r="L21" s="6"/>
    </row>
    <row r="22" spans="9:12" x14ac:dyDescent="0.2">
      <c r="L22" s="6"/>
    </row>
    <row r="24" spans="9:12" x14ac:dyDescent="0.2">
      <c r="I24" s="10"/>
      <c r="J24" s="10"/>
      <c r="L24" s="6"/>
    </row>
  </sheetData>
  <sortState xmlns:xlrd2="http://schemas.microsoft.com/office/spreadsheetml/2017/richdata2" ref="A2:L25">
    <sortCondition ref="A25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0"/>
  <sheetViews>
    <sheetView workbookViewId="0">
      <selection activeCell="C16" sqref="C16"/>
    </sheetView>
  </sheetViews>
  <sheetFormatPr baseColWidth="10" defaultRowHeight="12.75" x14ac:dyDescent="0.2"/>
  <cols>
    <col min="2" max="2" width="27.5703125" bestFit="1" customWidth="1"/>
    <col min="3" max="3" width="32.7109375" customWidth="1"/>
    <col min="4" max="4" width="13.42578125" style="13" customWidth="1"/>
    <col min="5" max="5" width="50.5703125" customWidth="1"/>
  </cols>
  <sheetData>
    <row r="1" spans="1:5" ht="23.25" x14ac:dyDescent="0.35">
      <c r="A1" s="51" t="s">
        <v>104</v>
      </c>
    </row>
    <row r="2" spans="1:5" ht="16.5" customHeight="1" x14ac:dyDescent="0.35">
      <c r="A2" s="51"/>
      <c r="C2" s="1" t="s">
        <v>115</v>
      </c>
      <c r="D2" s="57">
        <f>SUBTOTAL(9,D4:D140)</f>
        <v>0</v>
      </c>
    </row>
    <row r="3" spans="1:5" x14ac:dyDescent="0.2">
      <c r="A3" s="52" t="s">
        <v>1</v>
      </c>
      <c r="B3" s="52" t="s">
        <v>103</v>
      </c>
      <c r="C3" s="52" t="s">
        <v>108</v>
      </c>
      <c r="D3" s="53" t="s">
        <v>105</v>
      </c>
      <c r="E3" s="52" t="s">
        <v>7</v>
      </c>
    </row>
    <row r="4" spans="1:5" x14ac:dyDescent="0.2">
      <c r="A4" s="49"/>
      <c r="B4" s="12"/>
      <c r="C4" s="12"/>
    </row>
    <row r="5" spans="1:5" x14ac:dyDescent="0.2">
      <c r="A5" s="49"/>
      <c r="C5" s="56"/>
      <c r="E5" s="12"/>
    </row>
    <row r="6" spans="1:5" x14ac:dyDescent="0.2">
      <c r="A6" s="49"/>
    </row>
    <row r="7" spans="1:5" x14ac:dyDescent="0.2">
      <c r="A7" s="49"/>
    </row>
    <row r="8" spans="1:5" x14ac:dyDescent="0.2">
      <c r="A8" s="49"/>
    </row>
    <row r="9" spans="1:5" x14ac:dyDescent="0.2">
      <c r="A9" s="49"/>
    </row>
    <row r="10" spans="1:5" x14ac:dyDescent="0.2">
      <c r="A10" s="49"/>
    </row>
    <row r="11" spans="1:5" x14ac:dyDescent="0.2">
      <c r="A11" s="49"/>
    </row>
    <row r="12" spans="1:5" x14ac:dyDescent="0.2">
      <c r="A12" s="49"/>
    </row>
    <row r="13" spans="1:5" x14ac:dyDescent="0.2">
      <c r="A13" s="49"/>
    </row>
    <row r="14" spans="1:5" x14ac:dyDescent="0.2">
      <c r="A14" s="49"/>
    </row>
    <row r="15" spans="1:5" x14ac:dyDescent="0.2">
      <c r="A15" s="49"/>
    </row>
    <row r="16" spans="1:5" x14ac:dyDescent="0.2">
      <c r="A16" s="49"/>
    </row>
    <row r="17" spans="1:1" x14ac:dyDescent="0.2">
      <c r="A17" s="49"/>
    </row>
    <row r="18" spans="1:1" x14ac:dyDescent="0.2">
      <c r="A18" s="49"/>
    </row>
    <row r="19" spans="1:1" x14ac:dyDescent="0.2">
      <c r="A19" s="49"/>
    </row>
    <row r="20" spans="1:1" x14ac:dyDescent="0.2">
      <c r="A20" s="49"/>
    </row>
    <row r="21" spans="1:1" x14ac:dyDescent="0.2">
      <c r="A21" s="49"/>
    </row>
    <row r="22" spans="1:1" x14ac:dyDescent="0.2">
      <c r="A22" s="49"/>
    </row>
    <row r="23" spans="1:1" x14ac:dyDescent="0.2">
      <c r="A23" s="49"/>
    </row>
    <row r="24" spans="1:1" x14ac:dyDescent="0.2">
      <c r="A24" s="49"/>
    </row>
    <row r="25" spans="1:1" x14ac:dyDescent="0.2">
      <c r="A25" s="49"/>
    </row>
    <row r="26" spans="1:1" x14ac:dyDescent="0.2">
      <c r="A26" s="49"/>
    </row>
    <row r="27" spans="1:1" x14ac:dyDescent="0.2">
      <c r="A27" s="49"/>
    </row>
    <row r="28" spans="1:1" x14ac:dyDescent="0.2">
      <c r="A28" s="49"/>
    </row>
    <row r="29" spans="1:1" x14ac:dyDescent="0.2">
      <c r="A29" s="49"/>
    </row>
    <row r="30" spans="1:1" x14ac:dyDescent="0.2">
      <c r="A30" s="49"/>
    </row>
    <row r="31" spans="1:1" x14ac:dyDescent="0.2">
      <c r="A31" s="49"/>
    </row>
    <row r="32" spans="1:1" x14ac:dyDescent="0.2">
      <c r="A32" s="49"/>
    </row>
    <row r="33" spans="1:1" x14ac:dyDescent="0.2">
      <c r="A33" s="49"/>
    </row>
    <row r="34" spans="1:1" x14ac:dyDescent="0.2">
      <c r="A34" s="49"/>
    </row>
    <row r="35" spans="1:1" x14ac:dyDescent="0.2">
      <c r="A35" s="49"/>
    </row>
    <row r="36" spans="1:1" x14ac:dyDescent="0.2">
      <c r="A36" s="49"/>
    </row>
    <row r="37" spans="1:1" x14ac:dyDescent="0.2">
      <c r="A37" s="49"/>
    </row>
    <row r="38" spans="1:1" x14ac:dyDescent="0.2">
      <c r="A38" s="49"/>
    </row>
    <row r="39" spans="1:1" x14ac:dyDescent="0.2">
      <c r="A39" s="49"/>
    </row>
    <row r="40" spans="1:1" x14ac:dyDescent="0.2">
      <c r="A40" s="49"/>
    </row>
    <row r="41" spans="1:1" x14ac:dyDescent="0.2">
      <c r="A41" s="49"/>
    </row>
    <row r="42" spans="1:1" x14ac:dyDescent="0.2">
      <c r="A42" s="49"/>
    </row>
    <row r="43" spans="1:1" x14ac:dyDescent="0.2">
      <c r="A43" s="49"/>
    </row>
    <row r="44" spans="1:1" x14ac:dyDescent="0.2">
      <c r="A44" s="49"/>
    </row>
    <row r="45" spans="1:1" x14ac:dyDescent="0.2">
      <c r="A45" s="49"/>
    </row>
    <row r="46" spans="1:1" x14ac:dyDescent="0.2">
      <c r="A46" s="49"/>
    </row>
    <row r="47" spans="1:1" x14ac:dyDescent="0.2">
      <c r="A47" s="49"/>
    </row>
    <row r="48" spans="1:1" x14ac:dyDescent="0.2">
      <c r="A48" s="49"/>
    </row>
    <row r="49" spans="1:1" x14ac:dyDescent="0.2">
      <c r="A49" s="49"/>
    </row>
    <row r="50" spans="1:1" x14ac:dyDescent="0.2">
      <c r="A50" s="49"/>
    </row>
  </sheetData>
  <autoFilter ref="B3:C3" xr:uid="{00000000-0001-0000-0500-000000000000}"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2E43C-9549-4ADF-83F3-003169FE46DB}">
  <dimension ref="A1:L99"/>
  <sheetViews>
    <sheetView tabSelected="1" workbookViewId="0">
      <selection activeCell="N6" sqref="N6"/>
    </sheetView>
  </sheetViews>
  <sheetFormatPr baseColWidth="10" defaultRowHeight="12.75" x14ac:dyDescent="0.2"/>
  <cols>
    <col min="1" max="1" width="10.5703125" customWidth="1"/>
    <col min="3" max="3" width="16" customWidth="1"/>
    <col min="5" max="5" width="8.28515625" customWidth="1"/>
    <col min="6" max="6" width="14" customWidth="1"/>
    <col min="7" max="7" width="13.42578125" customWidth="1"/>
    <col min="8" max="8" width="8.7109375" customWidth="1"/>
    <col min="9" max="9" width="9.5703125" customWidth="1"/>
    <col min="10" max="10" width="6.7109375" customWidth="1"/>
    <col min="11" max="11" width="6.140625" customWidth="1"/>
    <col min="12" max="12" width="57.42578125" customWidth="1"/>
  </cols>
  <sheetData>
    <row r="1" spans="1:12" ht="33" x14ac:dyDescent="0.45">
      <c r="A1" s="120" t="s">
        <v>46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</row>
    <row r="2" spans="1:12" ht="18.75" x14ac:dyDescent="0.3">
      <c r="A2" s="95" t="s">
        <v>41</v>
      </c>
      <c r="B2" s="96" t="s">
        <v>1</v>
      </c>
      <c r="C2" s="97" t="s">
        <v>3</v>
      </c>
      <c r="D2" s="97" t="s">
        <v>114</v>
      </c>
      <c r="E2" s="97" t="s">
        <v>44</v>
      </c>
      <c r="F2" s="97" t="s">
        <v>42</v>
      </c>
      <c r="G2" s="98" t="s">
        <v>121</v>
      </c>
      <c r="H2" s="97" t="s">
        <v>47</v>
      </c>
      <c r="I2" s="99" t="s">
        <v>43</v>
      </c>
      <c r="J2" s="100" t="s">
        <v>117</v>
      </c>
      <c r="K2" s="100" t="s">
        <v>118</v>
      </c>
      <c r="L2" s="101" t="s">
        <v>7</v>
      </c>
    </row>
    <row r="3" spans="1:12" ht="24" customHeight="1" x14ac:dyDescent="0.2">
      <c r="A3" s="102">
        <v>2024</v>
      </c>
      <c r="B3" s="103">
        <v>45437</v>
      </c>
      <c r="C3" s="104" t="s">
        <v>8</v>
      </c>
      <c r="D3" s="104"/>
      <c r="E3" s="104">
        <v>3</v>
      </c>
      <c r="F3" s="105" t="str">
        <f>IF(ISBLANK(B3),"",VLOOKUP(Schussbuch!E3,Wildarten!$A$3:$B$22,2,FALSE))</f>
        <v>Rehwild</v>
      </c>
      <c r="G3" s="106" t="s">
        <v>126</v>
      </c>
      <c r="H3" s="104">
        <v>1</v>
      </c>
      <c r="I3" s="107" t="s">
        <v>49</v>
      </c>
      <c r="J3" s="104">
        <v>1</v>
      </c>
      <c r="K3" s="104"/>
      <c r="L3" s="108" t="s">
        <v>127</v>
      </c>
    </row>
    <row r="4" spans="1:12" ht="24" customHeight="1" x14ac:dyDescent="0.2">
      <c r="A4" s="109">
        <v>2024</v>
      </c>
      <c r="B4" s="110">
        <v>45675</v>
      </c>
      <c r="C4" s="111" t="s">
        <v>70</v>
      </c>
      <c r="D4" s="111"/>
      <c r="E4" s="111">
        <v>3</v>
      </c>
      <c r="F4" s="105" t="str">
        <f>IF(ISBLANK(B4),"",VLOOKUP(Schussbuch!E4,Wildarten!$A$3:$B$22,2,FALSE))</f>
        <v>Rehwild</v>
      </c>
      <c r="G4" s="106" t="s">
        <v>133</v>
      </c>
      <c r="H4" s="111">
        <v>1</v>
      </c>
      <c r="I4" s="112" t="s">
        <v>48</v>
      </c>
      <c r="J4" s="111">
        <v>1</v>
      </c>
      <c r="K4" s="111"/>
      <c r="L4" s="113" t="s">
        <v>122</v>
      </c>
    </row>
    <row r="5" spans="1:12" ht="24" customHeight="1" x14ac:dyDescent="0.2">
      <c r="A5" s="102">
        <v>2024</v>
      </c>
      <c r="B5" s="103">
        <v>45675</v>
      </c>
      <c r="C5" s="104" t="s">
        <v>70</v>
      </c>
      <c r="D5" s="104"/>
      <c r="E5" s="104">
        <v>3</v>
      </c>
      <c r="F5" s="105" t="str">
        <f>IF(ISBLANK(B5),"",VLOOKUP(Schussbuch!E5,Wildarten!$A$3:$B$22,2,FALSE))</f>
        <v>Rehwild</v>
      </c>
      <c r="G5" s="106" t="s">
        <v>123</v>
      </c>
      <c r="H5" s="104">
        <v>1</v>
      </c>
      <c r="I5" s="107" t="s">
        <v>49</v>
      </c>
      <c r="J5" s="104">
        <v>1</v>
      </c>
      <c r="K5" s="104"/>
      <c r="L5" s="108" t="s">
        <v>122</v>
      </c>
    </row>
    <row r="6" spans="1:12" ht="24" customHeight="1" x14ac:dyDescent="0.2">
      <c r="A6" s="109"/>
      <c r="B6" s="110"/>
      <c r="C6" s="111"/>
      <c r="D6" s="111"/>
      <c r="E6" s="111"/>
      <c r="F6" s="105"/>
      <c r="G6" s="106"/>
      <c r="H6" s="111"/>
      <c r="I6" s="112"/>
      <c r="J6" s="111"/>
      <c r="K6" s="111"/>
      <c r="L6" s="113"/>
    </row>
    <row r="7" spans="1:12" ht="24" customHeight="1" x14ac:dyDescent="0.2">
      <c r="A7" s="102"/>
      <c r="B7" s="103"/>
      <c r="C7" s="104"/>
      <c r="D7" s="104"/>
      <c r="E7" s="104"/>
      <c r="F7" s="105"/>
      <c r="G7" s="106"/>
      <c r="H7" s="104"/>
      <c r="I7" s="104"/>
      <c r="J7" s="104"/>
      <c r="K7" s="104"/>
      <c r="L7" s="108"/>
    </row>
    <row r="8" spans="1:12" ht="24" customHeight="1" x14ac:dyDescent="0.2">
      <c r="A8" s="109"/>
      <c r="B8" s="110"/>
      <c r="C8" s="111"/>
      <c r="D8" s="111"/>
      <c r="E8" s="111"/>
      <c r="F8" s="105"/>
      <c r="G8" s="106"/>
      <c r="H8" s="111"/>
      <c r="I8" s="112"/>
      <c r="J8" s="111"/>
      <c r="K8" s="111"/>
      <c r="L8" s="113"/>
    </row>
    <row r="9" spans="1:12" ht="24" customHeight="1" x14ac:dyDescent="0.2">
      <c r="A9" s="102"/>
      <c r="B9" s="103"/>
      <c r="C9" s="104"/>
      <c r="D9" s="104"/>
      <c r="E9" s="104"/>
      <c r="F9" s="105"/>
      <c r="G9" s="106"/>
      <c r="H9" s="104"/>
      <c r="I9" s="107"/>
      <c r="J9" s="104"/>
      <c r="K9" s="104"/>
      <c r="L9" s="108"/>
    </row>
    <row r="10" spans="1:12" ht="24" customHeight="1" x14ac:dyDescent="0.2">
      <c r="A10" s="109"/>
      <c r="B10" s="110"/>
      <c r="C10" s="111"/>
      <c r="D10" s="111"/>
      <c r="E10" s="111"/>
      <c r="F10" s="105"/>
      <c r="G10" s="106"/>
      <c r="H10" s="111"/>
      <c r="I10" s="111"/>
      <c r="J10" s="111"/>
      <c r="K10" s="111"/>
      <c r="L10" s="113"/>
    </row>
    <row r="11" spans="1:12" ht="24" customHeight="1" x14ac:dyDescent="0.2">
      <c r="A11" s="102"/>
      <c r="B11" s="103"/>
      <c r="C11" s="104"/>
      <c r="D11" s="104"/>
      <c r="E11" s="104"/>
      <c r="F11" s="105"/>
      <c r="G11" s="106"/>
      <c r="H11" s="104"/>
      <c r="I11" s="104"/>
      <c r="J11" s="104"/>
      <c r="K11" s="104"/>
      <c r="L11" s="108"/>
    </row>
    <row r="12" spans="1:12" ht="24" customHeight="1" x14ac:dyDescent="0.2">
      <c r="A12" s="109"/>
      <c r="B12" s="110"/>
      <c r="C12" s="111"/>
      <c r="D12" s="111"/>
      <c r="E12" s="111"/>
      <c r="F12" s="105"/>
      <c r="G12" s="106"/>
      <c r="H12" s="111"/>
      <c r="I12" s="112"/>
      <c r="J12" s="111"/>
      <c r="K12" s="111"/>
      <c r="L12" s="113"/>
    </row>
    <row r="13" spans="1:12" ht="24" customHeight="1" x14ac:dyDescent="0.2">
      <c r="A13" s="102"/>
      <c r="B13" s="103"/>
      <c r="C13" s="104"/>
      <c r="D13" s="104"/>
      <c r="E13" s="104"/>
      <c r="F13" s="105"/>
      <c r="G13" s="106"/>
      <c r="H13" s="104"/>
      <c r="I13" s="107"/>
      <c r="J13" s="104"/>
      <c r="K13" s="104"/>
      <c r="L13" s="108"/>
    </row>
    <row r="14" spans="1:12" ht="24" customHeight="1" x14ac:dyDescent="0.2">
      <c r="A14" s="109"/>
      <c r="B14" s="110"/>
      <c r="C14" s="111"/>
      <c r="D14" s="111"/>
      <c r="E14" s="111"/>
      <c r="F14" s="105"/>
      <c r="G14" s="106"/>
      <c r="H14" s="111"/>
      <c r="I14" s="112"/>
      <c r="J14" s="111"/>
      <c r="K14" s="111"/>
      <c r="L14" s="113"/>
    </row>
    <row r="15" spans="1:12" ht="24" customHeight="1" x14ac:dyDescent="0.2">
      <c r="A15" s="102"/>
      <c r="B15" s="103"/>
      <c r="C15" s="104"/>
      <c r="D15" s="104"/>
      <c r="E15" s="104"/>
      <c r="F15" s="105"/>
      <c r="G15" s="106"/>
      <c r="H15" s="104"/>
      <c r="I15" s="107"/>
      <c r="J15" s="104"/>
      <c r="K15" s="104"/>
      <c r="L15" s="108"/>
    </row>
    <row r="16" spans="1:12" ht="24" customHeight="1" x14ac:dyDescent="0.2">
      <c r="A16" s="109"/>
      <c r="B16" s="110"/>
      <c r="C16" s="111"/>
      <c r="D16" s="111"/>
      <c r="E16" s="111"/>
      <c r="F16" s="105"/>
      <c r="G16" s="106"/>
      <c r="H16" s="111"/>
      <c r="I16" s="112"/>
      <c r="J16" s="111"/>
      <c r="K16" s="111"/>
      <c r="L16" s="113"/>
    </row>
    <row r="17" spans="1:12" ht="24" customHeight="1" x14ac:dyDescent="0.2">
      <c r="A17" s="102"/>
      <c r="B17" s="103"/>
      <c r="C17" s="104"/>
      <c r="D17" s="104"/>
      <c r="E17" s="104"/>
      <c r="F17" s="105"/>
      <c r="G17" s="106"/>
      <c r="H17" s="104"/>
      <c r="I17" s="107"/>
      <c r="J17" s="104"/>
      <c r="K17" s="104"/>
      <c r="L17" s="108"/>
    </row>
    <row r="18" spans="1:12" ht="24" customHeight="1" x14ac:dyDescent="0.2">
      <c r="A18" s="109"/>
      <c r="B18" s="110"/>
      <c r="C18" s="111"/>
      <c r="D18" s="111"/>
      <c r="E18" s="111"/>
      <c r="F18" s="105"/>
      <c r="G18" s="106"/>
      <c r="H18" s="111"/>
      <c r="I18" s="112"/>
      <c r="J18" s="111"/>
      <c r="K18" s="111"/>
      <c r="L18" s="113"/>
    </row>
    <row r="19" spans="1:12" ht="24" customHeight="1" x14ac:dyDescent="0.2">
      <c r="A19" s="102"/>
      <c r="B19" s="103"/>
      <c r="C19" s="104"/>
      <c r="D19" s="104"/>
      <c r="E19" s="104"/>
      <c r="F19" s="105"/>
      <c r="G19" s="106"/>
      <c r="H19" s="104"/>
      <c r="I19" s="107"/>
      <c r="J19" s="104"/>
      <c r="K19" s="104"/>
      <c r="L19" s="108"/>
    </row>
    <row r="20" spans="1:12" ht="24" customHeight="1" x14ac:dyDescent="0.2">
      <c r="A20" s="109"/>
      <c r="B20" s="110"/>
      <c r="C20" s="111"/>
      <c r="D20" s="111"/>
      <c r="E20" s="111"/>
      <c r="F20" s="105"/>
      <c r="G20" s="106"/>
      <c r="H20" s="111"/>
      <c r="I20" s="112"/>
      <c r="J20" s="111"/>
      <c r="K20" s="111"/>
      <c r="L20" s="113"/>
    </row>
    <row r="21" spans="1:12" ht="24" customHeight="1" x14ac:dyDescent="0.2">
      <c r="A21" s="102"/>
      <c r="B21" s="103"/>
      <c r="C21" s="104"/>
      <c r="D21" s="104"/>
      <c r="E21" s="104"/>
      <c r="F21" s="105"/>
      <c r="G21" s="106"/>
      <c r="H21" s="104"/>
      <c r="I21" s="107"/>
      <c r="J21" s="104"/>
      <c r="K21" s="104"/>
      <c r="L21" s="108"/>
    </row>
    <row r="22" spans="1:12" ht="24" customHeight="1" x14ac:dyDescent="0.2">
      <c r="A22" s="109"/>
      <c r="B22" s="110"/>
      <c r="C22" s="111"/>
      <c r="D22" s="111"/>
      <c r="E22" s="111"/>
      <c r="F22" s="105"/>
      <c r="G22" s="106"/>
      <c r="H22" s="111"/>
      <c r="I22" s="112"/>
      <c r="J22" s="111"/>
      <c r="K22" s="111"/>
      <c r="L22" s="113"/>
    </row>
    <row r="23" spans="1:12" ht="24" customHeight="1" x14ac:dyDescent="0.2">
      <c r="A23" s="102"/>
      <c r="B23" s="103"/>
      <c r="C23" s="104"/>
      <c r="D23" s="104"/>
      <c r="E23" s="104"/>
      <c r="F23" s="105"/>
      <c r="G23" s="106"/>
      <c r="H23" s="104"/>
      <c r="I23" s="107"/>
      <c r="J23" s="104"/>
      <c r="K23" s="104"/>
      <c r="L23" s="108"/>
    </row>
    <row r="24" spans="1:12" ht="24" customHeight="1" x14ac:dyDescent="0.2">
      <c r="A24" s="109"/>
      <c r="B24" s="110"/>
      <c r="C24" s="111"/>
      <c r="D24" s="111"/>
      <c r="E24" s="111"/>
      <c r="F24" s="105"/>
      <c r="G24" s="106"/>
      <c r="H24" s="111"/>
      <c r="I24" s="112"/>
      <c r="J24" s="111"/>
      <c r="K24" s="111"/>
      <c r="L24" s="113"/>
    </row>
    <row r="25" spans="1:12" ht="24" customHeight="1" x14ac:dyDescent="0.2">
      <c r="A25" s="102"/>
      <c r="B25" s="103"/>
      <c r="C25" s="104"/>
      <c r="D25" s="104"/>
      <c r="E25" s="104"/>
      <c r="F25" s="105"/>
      <c r="G25" s="106"/>
      <c r="H25" s="104"/>
      <c r="I25" s="107"/>
      <c r="J25" s="104"/>
      <c r="K25" s="104"/>
      <c r="L25" s="108"/>
    </row>
    <row r="26" spans="1:12" ht="24" customHeight="1" x14ac:dyDescent="0.2">
      <c r="A26" s="109"/>
      <c r="B26" s="111"/>
      <c r="C26" s="111"/>
      <c r="D26" s="111"/>
      <c r="E26" s="111"/>
      <c r="F26" s="105" t="str">
        <f>IF(ISBLANK(B26),"",VLOOKUP(Schussbuch!E26,Wildarten!$A$3:$B$22,2,FALSE))</f>
        <v/>
      </c>
      <c r="G26" s="106"/>
      <c r="H26" s="111"/>
      <c r="I26" s="111"/>
      <c r="J26" s="111"/>
      <c r="K26" s="111"/>
      <c r="L26" s="113"/>
    </row>
    <row r="27" spans="1:12" ht="24" customHeight="1" x14ac:dyDescent="0.2">
      <c r="A27" s="102"/>
      <c r="B27" s="104"/>
      <c r="C27" s="104"/>
      <c r="D27" s="104"/>
      <c r="E27" s="104"/>
      <c r="F27" s="105" t="str">
        <f>IF(ISBLANK(B27),"",VLOOKUP(Schussbuch!E27,Wildarten!$A$3:$B$22,2,FALSE))</f>
        <v/>
      </c>
      <c r="G27" s="106"/>
      <c r="H27" s="104"/>
      <c r="I27" s="104"/>
      <c r="J27" s="104"/>
      <c r="K27" s="104"/>
      <c r="L27" s="108"/>
    </row>
    <row r="28" spans="1:12" ht="24" customHeight="1" x14ac:dyDescent="0.2">
      <c r="A28" s="109"/>
      <c r="B28" s="110"/>
      <c r="C28" s="111"/>
      <c r="D28" s="111"/>
      <c r="E28" s="111"/>
      <c r="F28" s="105" t="str">
        <f>IF(ISBLANK(B28),"",VLOOKUP(Schussbuch!E28,Wildarten!$A$3:$B$22,2,FALSE))</f>
        <v/>
      </c>
      <c r="G28" s="106"/>
      <c r="H28" s="111"/>
      <c r="I28" s="111"/>
      <c r="J28" s="111"/>
      <c r="K28" s="111"/>
      <c r="L28" s="113"/>
    </row>
    <row r="29" spans="1:12" ht="24" customHeight="1" x14ac:dyDescent="0.2">
      <c r="A29" s="102"/>
      <c r="B29" s="104"/>
      <c r="C29" s="104"/>
      <c r="D29" s="104"/>
      <c r="E29" s="104"/>
      <c r="F29" s="105" t="str">
        <f>IF(ISBLANK(B29),"",VLOOKUP(Schussbuch!E29,Wildarten!$A$3:$B$22,2,FALSE))</f>
        <v/>
      </c>
      <c r="G29" s="106"/>
      <c r="H29" s="104"/>
      <c r="I29" s="104"/>
      <c r="J29" s="104"/>
      <c r="K29" s="104"/>
      <c r="L29" s="108"/>
    </row>
    <row r="30" spans="1:12" ht="24" customHeight="1" x14ac:dyDescent="0.2">
      <c r="A30" s="109"/>
      <c r="B30" s="111"/>
      <c r="C30" s="111"/>
      <c r="D30" s="111"/>
      <c r="E30" s="111"/>
      <c r="F30" s="105" t="str">
        <f>IF(ISBLANK(B30),"",VLOOKUP(Schussbuch!E30,Wildarten!$A$3:$B$22,2,FALSE))</f>
        <v/>
      </c>
      <c r="G30" s="106"/>
      <c r="H30" s="111"/>
      <c r="I30" s="111"/>
      <c r="J30" s="111"/>
      <c r="K30" s="111"/>
      <c r="L30" s="113"/>
    </row>
    <row r="31" spans="1:12" ht="24" customHeight="1" x14ac:dyDescent="0.2">
      <c r="A31" s="102"/>
      <c r="B31" s="104"/>
      <c r="C31" s="104"/>
      <c r="D31" s="104"/>
      <c r="E31" s="104"/>
      <c r="F31" s="105" t="str">
        <f>IF(ISBLANK(B31),"",VLOOKUP(Schussbuch!E31,Wildarten!$A$3:$B$22,2,FALSE))</f>
        <v/>
      </c>
      <c r="G31" s="106"/>
      <c r="H31" s="104"/>
      <c r="I31" s="104"/>
      <c r="J31" s="104"/>
      <c r="K31" s="104"/>
      <c r="L31" s="108"/>
    </row>
    <row r="32" spans="1:12" ht="24" customHeight="1" x14ac:dyDescent="0.2">
      <c r="A32" s="109"/>
      <c r="B32" s="111"/>
      <c r="C32" s="111"/>
      <c r="D32" s="111"/>
      <c r="E32" s="111"/>
      <c r="F32" s="105" t="str">
        <f>IF(ISBLANK(B32),"",VLOOKUP(Schussbuch!E32,Wildarten!$A$3:$B$22,2,FALSE))</f>
        <v/>
      </c>
      <c r="G32" s="106"/>
      <c r="H32" s="111"/>
      <c r="I32" s="111"/>
      <c r="J32" s="111"/>
      <c r="K32" s="111"/>
      <c r="L32" s="113"/>
    </row>
    <row r="33" spans="1:12" ht="24" customHeight="1" x14ac:dyDescent="0.2">
      <c r="A33" s="102"/>
      <c r="B33" s="104"/>
      <c r="C33" s="104"/>
      <c r="D33" s="104"/>
      <c r="E33" s="104"/>
      <c r="F33" s="105" t="str">
        <f>IF(ISBLANK(B33),"",VLOOKUP(Schussbuch!E33,Wildarten!$A$3:$B$22,2,FALSE))</f>
        <v/>
      </c>
      <c r="G33" s="106"/>
      <c r="H33" s="104"/>
      <c r="I33" s="104"/>
      <c r="J33" s="104"/>
      <c r="K33" s="104"/>
      <c r="L33" s="108"/>
    </row>
    <row r="34" spans="1:12" ht="24" customHeight="1" x14ac:dyDescent="0.2">
      <c r="A34" s="109"/>
      <c r="B34" s="111"/>
      <c r="C34" s="111"/>
      <c r="D34" s="111"/>
      <c r="E34" s="111"/>
      <c r="F34" s="105" t="str">
        <f>IF(ISBLANK(B34),"",VLOOKUP(Schussbuch!E34,Wildarten!$A$3:$B$22,2,FALSE))</f>
        <v/>
      </c>
      <c r="G34" s="106"/>
      <c r="H34" s="111"/>
      <c r="I34" s="111"/>
      <c r="J34" s="111"/>
      <c r="K34" s="111"/>
      <c r="L34" s="113"/>
    </row>
    <row r="35" spans="1:12" ht="24" customHeight="1" x14ac:dyDescent="0.2">
      <c r="A35" s="102"/>
      <c r="B35" s="104"/>
      <c r="C35" s="104"/>
      <c r="D35" s="104"/>
      <c r="E35" s="104"/>
      <c r="F35" s="105" t="str">
        <f>IF(ISBLANK(B35),"",VLOOKUP(Schussbuch!E35,Wildarten!$A$3:$B$22,2,FALSE))</f>
        <v/>
      </c>
      <c r="G35" s="106"/>
      <c r="H35" s="104"/>
      <c r="I35" s="104"/>
      <c r="J35" s="104"/>
      <c r="K35" s="104"/>
      <c r="L35" s="108"/>
    </row>
    <row r="36" spans="1:12" ht="24" customHeight="1" x14ac:dyDescent="0.2">
      <c r="A36" s="109"/>
      <c r="B36" s="111"/>
      <c r="C36" s="111"/>
      <c r="D36" s="111"/>
      <c r="E36" s="111"/>
      <c r="F36" s="105" t="str">
        <f>IF(ISBLANK(B36),"",VLOOKUP(Schussbuch!E36,Wildarten!$A$3:$B$22,2,FALSE))</f>
        <v/>
      </c>
      <c r="G36" s="106"/>
      <c r="H36" s="111"/>
      <c r="I36" s="111"/>
      <c r="J36" s="111"/>
      <c r="K36" s="111"/>
      <c r="L36" s="113"/>
    </row>
    <row r="37" spans="1:12" ht="24" customHeight="1" x14ac:dyDescent="0.2">
      <c r="A37" s="102"/>
      <c r="B37" s="104"/>
      <c r="C37" s="104"/>
      <c r="D37" s="104"/>
      <c r="E37" s="104"/>
      <c r="F37" s="105" t="str">
        <f>IF(ISBLANK(B37),"",VLOOKUP(Schussbuch!E37,Wildarten!$A$3:$B$22,2,FALSE))</f>
        <v/>
      </c>
      <c r="G37" s="106"/>
      <c r="H37" s="104"/>
      <c r="I37" s="104"/>
      <c r="J37" s="104"/>
      <c r="K37" s="104"/>
      <c r="L37" s="108"/>
    </row>
    <row r="38" spans="1:12" ht="24" customHeight="1" x14ac:dyDescent="0.2">
      <c r="A38" s="109"/>
      <c r="B38" s="111"/>
      <c r="C38" s="111"/>
      <c r="D38" s="111"/>
      <c r="E38" s="111"/>
      <c r="F38" s="105" t="str">
        <f>IF(ISBLANK(B38),"",VLOOKUP(Schussbuch!E38,Wildarten!$A$3:$B$22,2,FALSE))</f>
        <v/>
      </c>
      <c r="G38" s="106"/>
      <c r="H38" s="111"/>
      <c r="I38" s="111"/>
      <c r="J38" s="111"/>
      <c r="K38" s="111"/>
      <c r="L38" s="113"/>
    </row>
    <row r="39" spans="1:12" ht="24" customHeight="1" x14ac:dyDescent="0.2">
      <c r="A39" s="102"/>
      <c r="B39" s="104"/>
      <c r="C39" s="104"/>
      <c r="D39" s="104"/>
      <c r="E39" s="104"/>
      <c r="F39" s="105" t="str">
        <f>IF(ISBLANK(B39),"",VLOOKUP(Schussbuch!E39,Wildarten!$A$3:$B$22,2,FALSE))</f>
        <v/>
      </c>
      <c r="G39" s="106"/>
      <c r="H39" s="104"/>
      <c r="I39" s="104"/>
      <c r="J39" s="104"/>
      <c r="K39" s="104"/>
      <c r="L39" s="108"/>
    </row>
    <row r="40" spans="1:12" ht="24" customHeight="1" x14ac:dyDescent="0.2">
      <c r="A40" s="109"/>
      <c r="B40" s="111"/>
      <c r="C40" s="111"/>
      <c r="D40" s="111"/>
      <c r="E40" s="111"/>
      <c r="F40" s="105" t="str">
        <f>IF(ISBLANK(B40),"",VLOOKUP(Schussbuch!E40,Wildarten!$A$3:$B$22,2,FALSE))</f>
        <v/>
      </c>
      <c r="G40" s="106"/>
      <c r="H40" s="111"/>
      <c r="I40" s="111"/>
      <c r="J40" s="111"/>
      <c r="K40" s="111"/>
      <c r="L40" s="113"/>
    </row>
    <row r="41" spans="1:12" ht="24" customHeight="1" x14ac:dyDescent="0.2">
      <c r="A41" s="102"/>
      <c r="B41" s="104"/>
      <c r="C41" s="104"/>
      <c r="D41" s="104"/>
      <c r="E41" s="104"/>
      <c r="F41" s="105" t="str">
        <f>IF(ISBLANK(B41),"",VLOOKUP(Schussbuch!E41,Wildarten!$A$3:$B$22,2,FALSE))</f>
        <v/>
      </c>
      <c r="G41" s="106"/>
      <c r="H41" s="104"/>
      <c r="I41" s="104"/>
      <c r="J41" s="104"/>
      <c r="K41" s="104"/>
      <c r="L41" s="108"/>
    </row>
    <row r="42" spans="1:12" ht="24" customHeight="1" x14ac:dyDescent="0.2">
      <c r="A42" s="109"/>
      <c r="B42" s="111"/>
      <c r="C42" s="111"/>
      <c r="D42" s="111"/>
      <c r="E42" s="111"/>
      <c r="F42" s="105" t="str">
        <f>IF(ISBLANK(B42),"",VLOOKUP(Schussbuch!E42,Wildarten!$A$3:$B$22,2,FALSE))</f>
        <v/>
      </c>
      <c r="G42" s="106"/>
      <c r="H42" s="111"/>
      <c r="I42" s="111"/>
      <c r="J42" s="111"/>
      <c r="K42" s="111"/>
      <c r="L42" s="113"/>
    </row>
    <row r="43" spans="1:12" ht="24" customHeight="1" x14ac:dyDescent="0.2">
      <c r="A43" s="102"/>
      <c r="B43" s="104"/>
      <c r="C43" s="104"/>
      <c r="D43" s="104"/>
      <c r="E43" s="104"/>
      <c r="F43" s="105" t="str">
        <f>IF(ISBLANK(B43),"",VLOOKUP(Schussbuch!E43,Wildarten!$A$3:$B$22,2,FALSE))</f>
        <v/>
      </c>
      <c r="G43" s="106"/>
      <c r="H43" s="104"/>
      <c r="I43" s="104"/>
      <c r="J43" s="104"/>
      <c r="K43" s="104"/>
      <c r="L43" s="108"/>
    </row>
    <row r="44" spans="1:12" ht="24" customHeight="1" x14ac:dyDescent="0.2">
      <c r="A44" s="109"/>
      <c r="B44" s="111"/>
      <c r="C44" s="111"/>
      <c r="D44" s="111"/>
      <c r="E44" s="111"/>
      <c r="F44" s="105" t="str">
        <f>IF(ISBLANK(B44),"",VLOOKUP(Schussbuch!E44,Wildarten!$A$3:$B$22,2,FALSE))</f>
        <v/>
      </c>
      <c r="G44" s="106"/>
      <c r="H44" s="111"/>
      <c r="I44" s="111"/>
      <c r="J44" s="111"/>
      <c r="K44" s="111"/>
      <c r="L44" s="113"/>
    </row>
    <row r="45" spans="1:12" ht="24" customHeight="1" x14ac:dyDescent="0.2">
      <c r="A45" s="102"/>
      <c r="B45" s="104"/>
      <c r="C45" s="104"/>
      <c r="D45" s="104"/>
      <c r="E45" s="104"/>
      <c r="F45" s="105" t="str">
        <f>IF(ISBLANK(B45),"",VLOOKUP(Schussbuch!E45,Wildarten!$A$3:$B$22,2,FALSE))</f>
        <v/>
      </c>
      <c r="G45" s="106"/>
      <c r="H45" s="104"/>
      <c r="I45" s="104"/>
      <c r="J45" s="104"/>
      <c r="K45" s="104"/>
      <c r="L45" s="108"/>
    </row>
    <row r="46" spans="1:12" ht="24" customHeight="1" x14ac:dyDescent="0.2">
      <c r="A46" s="109"/>
      <c r="B46" s="111"/>
      <c r="C46" s="111"/>
      <c r="D46" s="111"/>
      <c r="E46" s="111"/>
      <c r="F46" s="105" t="str">
        <f>IF(ISBLANK(B46),"",VLOOKUP(Schussbuch!E46,Wildarten!$A$3:$B$22,2,FALSE))</f>
        <v/>
      </c>
      <c r="G46" s="106"/>
      <c r="H46" s="111"/>
      <c r="I46" s="111"/>
      <c r="J46" s="111"/>
      <c r="K46" s="111"/>
      <c r="L46" s="113"/>
    </row>
    <row r="47" spans="1:12" ht="24" customHeight="1" x14ac:dyDescent="0.2">
      <c r="A47" s="102"/>
      <c r="B47" s="104"/>
      <c r="C47" s="104"/>
      <c r="D47" s="104"/>
      <c r="E47" s="104"/>
      <c r="F47" s="105" t="str">
        <f>IF(ISBLANK(B47),"",VLOOKUP(Schussbuch!E47,Wildarten!$A$3:$B$22,2,FALSE))</f>
        <v/>
      </c>
      <c r="G47" s="106"/>
      <c r="H47" s="104"/>
      <c r="I47" s="104"/>
      <c r="J47" s="104"/>
      <c r="K47" s="104"/>
      <c r="L47" s="108"/>
    </row>
    <row r="48" spans="1:12" ht="24" customHeight="1" x14ac:dyDescent="0.2">
      <c r="A48" s="109"/>
      <c r="B48" s="111"/>
      <c r="C48" s="111"/>
      <c r="D48" s="111"/>
      <c r="E48" s="111"/>
      <c r="F48" s="105" t="str">
        <f>IF(ISBLANK(B48),"",VLOOKUP(Schussbuch!E48,Wildarten!$A$3:$B$22,2,FALSE))</f>
        <v/>
      </c>
      <c r="G48" s="106"/>
      <c r="H48" s="111"/>
      <c r="I48" s="111"/>
      <c r="J48" s="111"/>
      <c r="K48" s="111"/>
      <c r="L48" s="113"/>
    </row>
    <row r="49" spans="1:12" ht="24" customHeight="1" x14ac:dyDescent="0.2">
      <c r="A49" s="102"/>
      <c r="B49" s="104"/>
      <c r="C49" s="104"/>
      <c r="D49" s="104"/>
      <c r="E49" s="104"/>
      <c r="F49" s="105" t="str">
        <f>IF(ISBLANK(B49),"",VLOOKUP(Schussbuch!E49,Wildarten!$A$3:$B$22,2,FALSE))</f>
        <v/>
      </c>
      <c r="G49" s="106"/>
      <c r="H49" s="104"/>
      <c r="I49" s="104"/>
      <c r="J49" s="104"/>
      <c r="K49" s="104"/>
      <c r="L49" s="108"/>
    </row>
    <row r="50" spans="1:12" ht="24" customHeight="1" x14ac:dyDescent="0.2">
      <c r="A50" s="109"/>
      <c r="B50" s="111"/>
      <c r="C50" s="111"/>
      <c r="D50" s="111"/>
      <c r="E50" s="111"/>
      <c r="F50" s="105" t="str">
        <f>IF(ISBLANK(B50),"",VLOOKUP(Schussbuch!E50,Wildarten!$A$3:$B$22,2,FALSE))</f>
        <v/>
      </c>
      <c r="G50" s="106"/>
      <c r="H50" s="111"/>
      <c r="I50" s="111"/>
      <c r="J50" s="111"/>
      <c r="K50" s="111"/>
      <c r="L50" s="113"/>
    </row>
    <row r="51" spans="1:12" ht="24" customHeight="1" x14ac:dyDescent="0.2">
      <c r="A51" s="102"/>
      <c r="B51" s="104"/>
      <c r="C51" s="104"/>
      <c r="D51" s="104"/>
      <c r="E51" s="104"/>
      <c r="F51" s="105" t="str">
        <f>IF(ISBLANK(B51),"",VLOOKUP(Schussbuch!E51,Wildarten!$A$3:$B$22,2,FALSE))</f>
        <v/>
      </c>
      <c r="G51" s="106"/>
      <c r="H51" s="104"/>
      <c r="I51" s="104"/>
      <c r="J51" s="104"/>
      <c r="K51" s="104"/>
      <c r="L51" s="108"/>
    </row>
    <row r="52" spans="1:12" ht="24" customHeight="1" x14ac:dyDescent="0.2">
      <c r="A52" s="109"/>
      <c r="B52" s="111"/>
      <c r="C52" s="111"/>
      <c r="D52" s="111"/>
      <c r="E52" s="111"/>
      <c r="F52" s="105" t="str">
        <f>IF(ISBLANK(B52),"",VLOOKUP(Schussbuch!E52,Wildarten!$A$3:$B$22,2,FALSE))</f>
        <v/>
      </c>
      <c r="G52" s="106"/>
      <c r="H52" s="111"/>
      <c r="I52" s="111"/>
      <c r="J52" s="111"/>
      <c r="K52" s="111"/>
      <c r="L52" s="113"/>
    </row>
    <row r="53" spans="1:12" ht="24" customHeight="1" x14ac:dyDescent="0.2">
      <c r="A53" s="102"/>
      <c r="B53" s="104"/>
      <c r="C53" s="104"/>
      <c r="D53" s="104"/>
      <c r="E53" s="104"/>
      <c r="F53" s="105" t="str">
        <f>IF(ISBLANK(B53),"",VLOOKUP(Schussbuch!E53,Wildarten!$A$3:$B$22,2,FALSE))</f>
        <v/>
      </c>
      <c r="G53" s="106"/>
      <c r="H53" s="104"/>
      <c r="I53" s="104"/>
      <c r="J53" s="104"/>
      <c r="K53" s="104"/>
      <c r="L53" s="108"/>
    </row>
    <row r="54" spans="1:12" ht="24" customHeight="1" x14ac:dyDescent="0.2">
      <c r="A54" s="109"/>
      <c r="B54" s="111"/>
      <c r="C54" s="111"/>
      <c r="D54" s="111"/>
      <c r="E54" s="111"/>
      <c r="F54" s="105" t="str">
        <f>IF(ISBLANK(B54),"",VLOOKUP(Schussbuch!E54,Wildarten!$A$3:$B$22,2,FALSE))</f>
        <v/>
      </c>
      <c r="G54" s="106"/>
      <c r="H54" s="111"/>
      <c r="I54" s="111"/>
      <c r="J54" s="111"/>
      <c r="K54" s="111"/>
      <c r="L54" s="113"/>
    </row>
    <row r="55" spans="1:12" ht="24" customHeight="1" x14ac:dyDescent="0.2">
      <c r="A55" s="102"/>
      <c r="B55" s="104"/>
      <c r="C55" s="104"/>
      <c r="D55" s="104"/>
      <c r="E55" s="104"/>
      <c r="F55" s="105" t="str">
        <f>IF(ISBLANK(B55),"",VLOOKUP(Schussbuch!E55,Wildarten!$A$3:$B$22,2,FALSE))</f>
        <v/>
      </c>
      <c r="G55" s="106"/>
      <c r="H55" s="104"/>
      <c r="I55" s="104"/>
      <c r="J55" s="104"/>
      <c r="K55" s="104"/>
      <c r="L55" s="108"/>
    </row>
    <row r="56" spans="1:12" ht="24" customHeight="1" x14ac:dyDescent="0.2">
      <c r="A56" s="109"/>
      <c r="B56" s="111"/>
      <c r="C56" s="111"/>
      <c r="D56" s="111"/>
      <c r="E56" s="111"/>
      <c r="F56" s="105" t="str">
        <f>IF(ISBLANK(B56),"",VLOOKUP(Schussbuch!E56,Wildarten!$A$3:$B$22,2,FALSE))</f>
        <v/>
      </c>
      <c r="G56" s="106"/>
      <c r="H56" s="111"/>
      <c r="I56" s="111"/>
      <c r="J56" s="111"/>
      <c r="K56" s="111"/>
      <c r="L56" s="113"/>
    </row>
    <row r="57" spans="1:12" ht="24" customHeight="1" x14ac:dyDescent="0.2">
      <c r="A57" s="102"/>
      <c r="B57" s="104"/>
      <c r="C57" s="104"/>
      <c r="D57" s="104"/>
      <c r="E57" s="104"/>
      <c r="F57" s="105" t="str">
        <f>IF(ISBLANK(B57),"",VLOOKUP(Schussbuch!E57,Wildarten!$A$3:$B$22,2,FALSE))</f>
        <v/>
      </c>
      <c r="G57" s="106"/>
      <c r="H57" s="104"/>
      <c r="I57" s="104"/>
      <c r="J57" s="104"/>
      <c r="K57" s="104"/>
      <c r="L57" s="108"/>
    </row>
    <row r="58" spans="1:12" ht="24" customHeight="1" x14ac:dyDescent="0.2">
      <c r="A58" s="109"/>
      <c r="B58" s="111"/>
      <c r="C58" s="111"/>
      <c r="D58" s="111"/>
      <c r="E58" s="111"/>
      <c r="F58" s="105" t="str">
        <f>IF(ISBLANK(B58),"",VLOOKUP(Schussbuch!E58,Wildarten!$A$3:$B$22,2,FALSE))</f>
        <v/>
      </c>
      <c r="G58" s="106"/>
      <c r="H58" s="111"/>
      <c r="I58" s="111"/>
      <c r="J58" s="111"/>
      <c r="K58" s="111"/>
      <c r="L58" s="113"/>
    </row>
    <row r="59" spans="1:12" ht="24" customHeight="1" x14ac:dyDescent="0.2">
      <c r="A59" s="102"/>
      <c r="B59" s="104"/>
      <c r="C59" s="104"/>
      <c r="D59" s="104"/>
      <c r="E59" s="104"/>
      <c r="F59" s="105" t="str">
        <f>IF(ISBLANK(B59),"",VLOOKUP(Schussbuch!E59,Wildarten!$A$3:$B$22,2,FALSE))</f>
        <v/>
      </c>
      <c r="G59" s="106"/>
      <c r="H59" s="104"/>
      <c r="I59" s="104"/>
      <c r="J59" s="104"/>
      <c r="K59" s="104"/>
      <c r="L59" s="108"/>
    </row>
    <row r="60" spans="1:12" ht="24" customHeight="1" x14ac:dyDescent="0.2">
      <c r="A60" s="109"/>
      <c r="B60" s="111"/>
      <c r="C60" s="111"/>
      <c r="D60" s="111"/>
      <c r="E60" s="111"/>
      <c r="F60" s="105" t="str">
        <f>IF(ISBLANK(B60),"",VLOOKUP(Schussbuch!E60,Wildarten!$A$3:$B$22,2,FALSE))</f>
        <v/>
      </c>
      <c r="G60" s="106"/>
      <c r="H60" s="111"/>
      <c r="I60" s="111"/>
      <c r="J60" s="111"/>
      <c r="K60" s="111"/>
      <c r="L60" s="113"/>
    </row>
    <row r="61" spans="1:12" ht="24" customHeight="1" x14ac:dyDescent="0.2">
      <c r="A61" s="102"/>
      <c r="B61" s="104"/>
      <c r="C61" s="104"/>
      <c r="D61" s="104"/>
      <c r="E61" s="104"/>
      <c r="F61" s="105" t="str">
        <f>IF(ISBLANK(B61),"",VLOOKUP(Schussbuch!E61,Wildarten!$A$3:$B$22,2,FALSE))</f>
        <v/>
      </c>
      <c r="G61" s="106"/>
      <c r="H61" s="104"/>
      <c r="I61" s="104"/>
      <c r="J61" s="104"/>
      <c r="K61" s="104"/>
      <c r="L61" s="108"/>
    </row>
    <row r="62" spans="1:12" ht="24" customHeight="1" x14ac:dyDescent="0.2">
      <c r="A62" s="109"/>
      <c r="B62" s="111"/>
      <c r="C62" s="111"/>
      <c r="D62" s="111"/>
      <c r="E62" s="111"/>
      <c r="F62" s="105" t="str">
        <f>IF(ISBLANK(B62),"",VLOOKUP(Schussbuch!E62,Wildarten!$A$3:$B$22,2,FALSE))</f>
        <v/>
      </c>
      <c r="G62" s="106"/>
      <c r="H62" s="111"/>
      <c r="I62" s="111"/>
      <c r="J62" s="111"/>
      <c r="K62" s="111"/>
      <c r="L62" s="113"/>
    </row>
    <row r="63" spans="1:12" ht="24" customHeight="1" x14ac:dyDescent="0.2">
      <c r="A63" s="102"/>
      <c r="B63" s="104"/>
      <c r="C63" s="104"/>
      <c r="D63" s="104"/>
      <c r="E63" s="104"/>
      <c r="F63" s="105" t="str">
        <f>IF(ISBLANK(B63),"",VLOOKUP(Schussbuch!E63,Wildarten!$A$3:$B$22,2,FALSE))</f>
        <v/>
      </c>
      <c r="G63" s="106"/>
      <c r="H63" s="104"/>
      <c r="I63" s="104"/>
      <c r="J63" s="104"/>
      <c r="K63" s="104"/>
      <c r="L63" s="108"/>
    </row>
    <row r="64" spans="1:12" ht="24" customHeight="1" x14ac:dyDescent="0.2">
      <c r="A64" s="109"/>
      <c r="B64" s="111"/>
      <c r="C64" s="111"/>
      <c r="D64" s="111"/>
      <c r="E64" s="111"/>
      <c r="F64" s="105" t="str">
        <f>IF(ISBLANK(B64),"",VLOOKUP(Schussbuch!E64,Wildarten!$A$3:$B$22,2,FALSE))</f>
        <v/>
      </c>
      <c r="G64" s="106"/>
      <c r="H64" s="111"/>
      <c r="I64" s="111"/>
      <c r="J64" s="111"/>
      <c r="K64" s="111"/>
      <c r="L64" s="113"/>
    </row>
    <row r="65" spans="1:12" ht="24" customHeight="1" x14ac:dyDescent="0.2">
      <c r="A65" s="102"/>
      <c r="B65" s="104"/>
      <c r="C65" s="104"/>
      <c r="D65" s="104"/>
      <c r="E65" s="104"/>
      <c r="F65" s="105" t="str">
        <f>IF(ISBLANK(B65),"",VLOOKUP(Schussbuch!E65,Wildarten!$A$3:$B$22,2,FALSE))</f>
        <v/>
      </c>
      <c r="G65" s="106"/>
      <c r="H65" s="104"/>
      <c r="I65" s="104"/>
      <c r="J65" s="104"/>
      <c r="K65" s="104"/>
      <c r="L65" s="108"/>
    </row>
    <row r="66" spans="1:12" ht="24" customHeight="1" x14ac:dyDescent="0.2">
      <c r="A66" s="109"/>
      <c r="B66" s="111"/>
      <c r="C66" s="111"/>
      <c r="D66" s="111"/>
      <c r="E66" s="111"/>
      <c r="F66" s="105" t="str">
        <f>IF(ISBLANK(B66),"",VLOOKUP(Schussbuch!E66,Wildarten!$A$3:$B$22,2,FALSE))</f>
        <v/>
      </c>
      <c r="G66" s="106"/>
      <c r="H66" s="111"/>
      <c r="I66" s="111"/>
      <c r="J66" s="111"/>
      <c r="K66" s="111"/>
      <c r="L66" s="113"/>
    </row>
    <row r="67" spans="1:12" ht="24" customHeight="1" x14ac:dyDescent="0.2">
      <c r="A67" s="102"/>
      <c r="B67" s="104"/>
      <c r="C67" s="104"/>
      <c r="D67" s="104"/>
      <c r="E67" s="104"/>
      <c r="F67" s="105" t="str">
        <f>IF(ISBLANK(B67),"",VLOOKUP(Schussbuch!E67,Wildarten!$A$3:$B$22,2,FALSE))</f>
        <v/>
      </c>
      <c r="G67" s="106"/>
      <c r="H67" s="104"/>
      <c r="I67" s="104"/>
      <c r="J67" s="104"/>
      <c r="K67" s="104"/>
      <c r="L67" s="108"/>
    </row>
    <row r="68" spans="1:12" ht="24" customHeight="1" x14ac:dyDescent="0.2">
      <c r="A68" s="109"/>
      <c r="B68" s="111"/>
      <c r="C68" s="111"/>
      <c r="D68" s="111"/>
      <c r="E68" s="111"/>
      <c r="F68" s="105" t="str">
        <f>IF(ISBLANK(B68),"",VLOOKUP(Schussbuch!E68,Wildarten!$A$3:$B$22,2,FALSE))</f>
        <v/>
      </c>
      <c r="G68" s="106"/>
      <c r="H68" s="111"/>
      <c r="I68" s="111"/>
      <c r="J68" s="111"/>
      <c r="K68" s="111"/>
      <c r="L68" s="113"/>
    </row>
    <row r="69" spans="1:12" ht="24" customHeight="1" x14ac:dyDescent="0.2">
      <c r="A69" s="102"/>
      <c r="B69" s="104"/>
      <c r="C69" s="104"/>
      <c r="D69" s="104"/>
      <c r="E69" s="104"/>
      <c r="F69" s="105" t="str">
        <f>IF(ISBLANK(B69),"",VLOOKUP(Schussbuch!E69,Wildarten!$A$3:$B$22,2,FALSE))</f>
        <v/>
      </c>
      <c r="G69" s="106"/>
      <c r="H69" s="104"/>
      <c r="I69" s="104"/>
      <c r="J69" s="104"/>
      <c r="K69" s="104"/>
      <c r="L69" s="108"/>
    </row>
    <row r="70" spans="1:12" ht="24" customHeight="1" x14ac:dyDescent="0.2">
      <c r="A70" s="109"/>
      <c r="B70" s="111"/>
      <c r="C70" s="111"/>
      <c r="D70" s="111"/>
      <c r="E70" s="111"/>
      <c r="F70" s="105" t="str">
        <f>IF(ISBLANK(B70),"",VLOOKUP(Schussbuch!E70,Wildarten!$A$3:$B$22,2,FALSE))</f>
        <v/>
      </c>
      <c r="G70" s="106"/>
      <c r="H70" s="111"/>
      <c r="I70" s="111"/>
      <c r="J70" s="111"/>
      <c r="K70" s="111"/>
      <c r="L70" s="113"/>
    </row>
    <row r="71" spans="1:12" ht="24" customHeight="1" x14ac:dyDescent="0.2">
      <c r="A71" s="102"/>
      <c r="B71" s="104"/>
      <c r="C71" s="104"/>
      <c r="D71" s="104"/>
      <c r="E71" s="104"/>
      <c r="F71" s="105" t="str">
        <f>IF(ISBLANK(B71),"",VLOOKUP(Schussbuch!E71,Wildarten!$A$3:$B$22,2,FALSE))</f>
        <v/>
      </c>
      <c r="G71" s="106"/>
      <c r="H71" s="104"/>
      <c r="I71" s="104"/>
      <c r="J71" s="104"/>
      <c r="K71" s="104"/>
      <c r="L71" s="108"/>
    </row>
    <row r="72" spans="1:12" ht="24" customHeight="1" x14ac:dyDescent="0.2">
      <c r="A72" s="109"/>
      <c r="B72" s="111"/>
      <c r="C72" s="111"/>
      <c r="D72" s="111"/>
      <c r="E72" s="111"/>
      <c r="F72" s="105" t="str">
        <f>IF(ISBLANK(B72),"",VLOOKUP(Schussbuch!E72,Wildarten!$A$3:$B$22,2,FALSE))</f>
        <v/>
      </c>
      <c r="G72" s="106"/>
      <c r="H72" s="111"/>
      <c r="I72" s="111"/>
      <c r="J72" s="111"/>
      <c r="K72" s="111"/>
      <c r="L72" s="113"/>
    </row>
    <row r="73" spans="1:12" ht="24" customHeight="1" x14ac:dyDescent="0.2">
      <c r="A73" s="102"/>
      <c r="B73" s="104"/>
      <c r="C73" s="104"/>
      <c r="D73" s="104"/>
      <c r="E73" s="104"/>
      <c r="F73" s="105" t="str">
        <f>IF(ISBLANK(B73),"",VLOOKUP(Schussbuch!E73,Wildarten!$A$3:$B$22,2,FALSE))</f>
        <v/>
      </c>
      <c r="G73" s="106"/>
      <c r="H73" s="104"/>
      <c r="I73" s="104"/>
      <c r="J73" s="104"/>
      <c r="K73" s="104"/>
      <c r="L73" s="108"/>
    </row>
    <row r="74" spans="1:12" ht="24" customHeight="1" x14ac:dyDescent="0.2">
      <c r="A74" s="109"/>
      <c r="B74" s="111"/>
      <c r="C74" s="111"/>
      <c r="D74" s="111"/>
      <c r="E74" s="111"/>
      <c r="F74" s="105" t="str">
        <f>IF(ISBLANK(B74),"",VLOOKUP(Schussbuch!E74,Wildarten!$A$3:$B$22,2,FALSE))</f>
        <v/>
      </c>
      <c r="G74" s="106"/>
      <c r="H74" s="111"/>
      <c r="I74" s="111"/>
      <c r="J74" s="111"/>
      <c r="K74" s="111"/>
      <c r="L74" s="113"/>
    </row>
    <row r="75" spans="1:12" ht="24" customHeight="1" x14ac:dyDescent="0.2">
      <c r="A75" s="102"/>
      <c r="B75" s="104"/>
      <c r="C75" s="104"/>
      <c r="D75" s="104"/>
      <c r="E75" s="104"/>
      <c r="F75" s="105" t="str">
        <f>IF(ISBLANK(B75),"",VLOOKUP(Schussbuch!E75,Wildarten!$A$3:$B$22,2,FALSE))</f>
        <v/>
      </c>
      <c r="G75" s="106"/>
      <c r="H75" s="104"/>
      <c r="I75" s="104"/>
      <c r="J75" s="104"/>
      <c r="K75" s="104"/>
      <c r="L75" s="108"/>
    </row>
    <row r="76" spans="1:12" ht="24" customHeight="1" x14ac:dyDescent="0.2">
      <c r="A76" s="109"/>
      <c r="B76" s="111"/>
      <c r="C76" s="111"/>
      <c r="D76" s="111"/>
      <c r="E76" s="111"/>
      <c r="F76" s="105" t="str">
        <f>IF(ISBLANK(B76),"",VLOOKUP(Schussbuch!E76,Wildarten!$A$3:$B$22,2,FALSE))</f>
        <v/>
      </c>
      <c r="G76" s="106"/>
      <c r="H76" s="111"/>
      <c r="I76" s="111"/>
      <c r="J76" s="111"/>
      <c r="K76" s="111"/>
      <c r="L76" s="113"/>
    </row>
    <row r="77" spans="1:12" ht="24" customHeight="1" x14ac:dyDescent="0.2">
      <c r="A77" s="102"/>
      <c r="B77" s="104"/>
      <c r="C77" s="104"/>
      <c r="D77" s="104"/>
      <c r="E77" s="104"/>
      <c r="F77" s="105" t="str">
        <f>IF(ISBLANK(B77),"",VLOOKUP(Schussbuch!E77,Wildarten!$A$3:$B$22,2,FALSE))</f>
        <v/>
      </c>
      <c r="G77" s="106"/>
      <c r="H77" s="104"/>
      <c r="I77" s="104"/>
      <c r="J77" s="104"/>
      <c r="K77" s="104"/>
      <c r="L77" s="108"/>
    </row>
    <row r="78" spans="1:12" ht="24" customHeight="1" x14ac:dyDescent="0.2">
      <c r="A78" s="109"/>
      <c r="B78" s="111"/>
      <c r="C78" s="111"/>
      <c r="D78" s="111"/>
      <c r="E78" s="111"/>
      <c r="F78" s="105" t="str">
        <f>IF(ISBLANK(B78),"",VLOOKUP(Schussbuch!E78,Wildarten!$A$3:$B$22,2,FALSE))</f>
        <v/>
      </c>
      <c r="G78" s="106"/>
      <c r="H78" s="111"/>
      <c r="I78" s="111"/>
      <c r="J78" s="111"/>
      <c r="K78" s="111"/>
      <c r="L78" s="113"/>
    </row>
    <row r="79" spans="1:12" ht="24" customHeight="1" x14ac:dyDescent="0.2">
      <c r="A79" s="102"/>
      <c r="B79" s="104"/>
      <c r="C79" s="104"/>
      <c r="D79" s="104"/>
      <c r="E79" s="104"/>
      <c r="F79" s="105" t="str">
        <f>IF(ISBLANK(B79),"",VLOOKUP(Schussbuch!E79,Wildarten!$A$3:$B$22,2,FALSE))</f>
        <v/>
      </c>
      <c r="G79" s="106"/>
      <c r="H79" s="104"/>
      <c r="I79" s="104"/>
      <c r="J79" s="104"/>
      <c r="K79" s="104"/>
      <c r="L79" s="108"/>
    </row>
    <row r="80" spans="1:12" ht="24" customHeight="1" x14ac:dyDescent="0.2">
      <c r="A80" s="109"/>
      <c r="B80" s="111"/>
      <c r="C80" s="111"/>
      <c r="D80" s="111"/>
      <c r="E80" s="111"/>
      <c r="F80" s="105" t="str">
        <f>IF(ISBLANK(B80),"",VLOOKUP(Schussbuch!E80,Wildarten!$A$3:$B$22,2,FALSE))</f>
        <v/>
      </c>
      <c r="G80" s="106"/>
      <c r="H80" s="111"/>
      <c r="I80" s="111"/>
      <c r="J80" s="111"/>
      <c r="K80" s="111"/>
      <c r="L80" s="113"/>
    </row>
    <row r="81" spans="1:12" ht="24" customHeight="1" x14ac:dyDescent="0.2">
      <c r="A81" s="102"/>
      <c r="B81" s="104"/>
      <c r="C81" s="104"/>
      <c r="D81" s="104"/>
      <c r="E81" s="104"/>
      <c r="F81" s="105" t="str">
        <f>IF(ISBLANK(B81),"",VLOOKUP(Schussbuch!E81,Wildarten!$A$3:$B$22,2,FALSE))</f>
        <v/>
      </c>
      <c r="G81" s="106"/>
      <c r="H81" s="104"/>
      <c r="I81" s="104"/>
      <c r="J81" s="104"/>
      <c r="K81" s="104"/>
      <c r="L81" s="108"/>
    </row>
    <row r="82" spans="1:12" ht="24" customHeight="1" x14ac:dyDescent="0.2">
      <c r="A82" s="109"/>
      <c r="B82" s="111"/>
      <c r="C82" s="111"/>
      <c r="D82" s="111"/>
      <c r="E82" s="111"/>
      <c r="F82" s="105" t="str">
        <f>IF(ISBLANK(B82),"",VLOOKUP(Schussbuch!E82,Wildarten!$A$3:$B$22,2,FALSE))</f>
        <v/>
      </c>
      <c r="G82" s="106"/>
      <c r="H82" s="111"/>
      <c r="I82" s="111"/>
      <c r="J82" s="111"/>
      <c r="K82" s="111"/>
      <c r="L82" s="113"/>
    </row>
    <row r="83" spans="1:12" ht="24" customHeight="1" x14ac:dyDescent="0.2">
      <c r="A83" s="102"/>
      <c r="B83" s="104"/>
      <c r="C83" s="104"/>
      <c r="D83" s="104"/>
      <c r="E83" s="104"/>
      <c r="F83" s="105" t="str">
        <f>IF(ISBLANK(B83),"",VLOOKUP(Schussbuch!E83,Wildarten!$A$3:$B$22,2,FALSE))</f>
        <v/>
      </c>
      <c r="G83" s="106"/>
      <c r="H83" s="104"/>
      <c r="I83" s="104"/>
      <c r="J83" s="104"/>
      <c r="K83" s="104"/>
      <c r="L83" s="108"/>
    </row>
    <row r="84" spans="1:12" ht="24" customHeight="1" x14ac:dyDescent="0.2">
      <c r="A84" s="109"/>
      <c r="B84" s="111"/>
      <c r="C84" s="111"/>
      <c r="D84" s="111"/>
      <c r="E84" s="111"/>
      <c r="F84" s="105" t="str">
        <f>IF(ISBLANK(B84),"",VLOOKUP(Schussbuch!E84,Wildarten!$A$3:$B$22,2,FALSE))</f>
        <v/>
      </c>
      <c r="G84" s="106"/>
      <c r="H84" s="111"/>
      <c r="I84" s="111"/>
      <c r="J84" s="111"/>
      <c r="K84" s="111"/>
      <c r="L84" s="113"/>
    </row>
    <row r="85" spans="1:12" ht="24" customHeight="1" x14ac:dyDescent="0.2">
      <c r="A85" s="102"/>
      <c r="B85" s="104"/>
      <c r="C85" s="104"/>
      <c r="D85" s="104"/>
      <c r="E85" s="104"/>
      <c r="F85" s="105" t="str">
        <f>IF(ISBLANK(B85),"",VLOOKUP(Schussbuch!E85,Wildarten!$A$3:$B$22,2,FALSE))</f>
        <v/>
      </c>
      <c r="G85" s="106"/>
      <c r="H85" s="104"/>
      <c r="I85" s="104"/>
      <c r="J85" s="104"/>
      <c r="K85" s="104"/>
      <c r="L85" s="108"/>
    </row>
    <row r="86" spans="1:12" ht="24" customHeight="1" x14ac:dyDescent="0.2">
      <c r="A86" s="109"/>
      <c r="B86" s="111"/>
      <c r="C86" s="111"/>
      <c r="D86" s="111"/>
      <c r="E86" s="111"/>
      <c r="F86" s="105" t="str">
        <f>IF(ISBLANK(B86),"",VLOOKUP(Schussbuch!E86,Wildarten!$A$3:$B$22,2,FALSE))</f>
        <v/>
      </c>
      <c r="G86" s="106"/>
      <c r="H86" s="111"/>
      <c r="I86" s="111"/>
      <c r="J86" s="111"/>
      <c r="K86" s="111"/>
      <c r="L86" s="113"/>
    </row>
    <row r="87" spans="1:12" ht="24" customHeight="1" x14ac:dyDescent="0.2">
      <c r="A87" s="102"/>
      <c r="B87" s="104"/>
      <c r="C87" s="104"/>
      <c r="D87" s="104"/>
      <c r="E87" s="104"/>
      <c r="F87" s="105" t="str">
        <f>IF(ISBLANK(B87),"",VLOOKUP(Schussbuch!E87,Wildarten!$A$3:$B$22,2,FALSE))</f>
        <v/>
      </c>
      <c r="G87" s="106"/>
      <c r="H87" s="104"/>
      <c r="I87" s="104"/>
      <c r="J87" s="104"/>
      <c r="K87" s="104"/>
      <c r="L87" s="108"/>
    </row>
    <row r="88" spans="1:12" ht="24" customHeight="1" x14ac:dyDescent="0.2">
      <c r="A88" s="109"/>
      <c r="B88" s="111"/>
      <c r="C88" s="111"/>
      <c r="D88" s="111"/>
      <c r="E88" s="111"/>
      <c r="F88" s="105" t="str">
        <f>IF(ISBLANK(B88),"",VLOOKUP(Schussbuch!E88,Wildarten!$A$3:$B$22,2,FALSE))</f>
        <v/>
      </c>
      <c r="G88" s="106"/>
      <c r="H88" s="111"/>
      <c r="I88" s="111"/>
      <c r="J88" s="111"/>
      <c r="K88" s="111"/>
      <c r="L88" s="113"/>
    </row>
    <row r="89" spans="1:12" ht="24" customHeight="1" x14ac:dyDescent="0.2">
      <c r="A89" s="102"/>
      <c r="B89" s="104"/>
      <c r="C89" s="104"/>
      <c r="D89" s="104"/>
      <c r="E89" s="104"/>
      <c r="F89" s="105" t="str">
        <f>IF(ISBLANK(B89),"",VLOOKUP(Schussbuch!E89,Wildarten!$A$3:$B$22,2,FALSE))</f>
        <v/>
      </c>
      <c r="G89" s="106"/>
      <c r="H89" s="104"/>
      <c r="I89" s="104"/>
      <c r="J89" s="104"/>
      <c r="K89" s="104"/>
      <c r="L89" s="108"/>
    </row>
    <row r="90" spans="1:12" ht="24" customHeight="1" x14ac:dyDescent="0.2">
      <c r="A90" s="109"/>
      <c r="B90" s="111"/>
      <c r="C90" s="111"/>
      <c r="D90" s="111"/>
      <c r="E90" s="111"/>
      <c r="F90" s="105" t="str">
        <f>IF(ISBLANK(B90),"",VLOOKUP(Schussbuch!E90,Wildarten!$A$3:$B$22,2,FALSE))</f>
        <v/>
      </c>
      <c r="G90" s="106"/>
      <c r="H90" s="111"/>
      <c r="I90" s="111"/>
      <c r="J90" s="111"/>
      <c r="K90" s="111"/>
      <c r="L90" s="113"/>
    </row>
    <row r="91" spans="1:12" ht="24" customHeight="1" x14ac:dyDescent="0.2">
      <c r="A91" s="102"/>
      <c r="B91" s="104"/>
      <c r="C91" s="104"/>
      <c r="D91" s="104"/>
      <c r="E91" s="104"/>
      <c r="F91" s="105" t="str">
        <f>IF(ISBLANK(B91),"",VLOOKUP(Schussbuch!E91,Wildarten!$A$3:$B$22,2,FALSE))</f>
        <v/>
      </c>
      <c r="G91" s="106"/>
      <c r="H91" s="104"/>
      <c r="I91" s="104"/>
      <c r="J91" s="104"/>
      <c r="K91" s="104"/>
      <c r="L91" s="108"/>
    </row>
    <row r="92" spans="1:12" ht="24" customHeight="1" x14ac:dyDescent="0.2">
      <c r="A92" s="109"/>
      <c r="B92" s="111"/>
      <c r="C92" s="111"/>
      <c r="D92" s="111"/>
      <c r="E92" s="111"/>
      <c r="F92" s="105" t="str">
        <f>IF(ISBLANK(B92),"",VLOOKUP(Schussbuch!E92,Wildarten!$A$3:$B$22,2,FALSE))</f>
        <v/>
      </c>
      <c r="G92" s="106"/>
      <c r="H92" s="111"/>
      <c r="I92" s="111"/>
      <c r="J92" s="111"/>
      <c r="K92" s="111"/>
      <c r="L92" s="113"/>
    </row>
    <row r="93" spans="1:12" ht="24" customHeight="1" x14ac:dyDescent="0.2">
      <c r="A93" s="102"/>
      <c r="B93" s="104"/>
      <c r="C93" s="104"/>
      <c r="D93" s="104"/>
      <c r="E93" s="104"/>
      <c r="F93" s="105" t="str">
        <f>IF(ISBLANK(B93),"",VLOOKUP(Schussbuch!E93,Wildarten!$A$3:$B$22,2,FALSE))</f>
        <v/>
      </c>
      <c r="G93" s="106"/>
      <c r="H93" s="104"/>
      <c r="I93" s="104"/>
      <c r="J93" s="104"/>
      <c r="K93" s="104"/>
      <c r="L93" s="108"/>
    </row>
    <row r="94" spans="1:12" ht="24" customHeight="1" x14ac:dyDescent="0.2">
      <c r="A94" s="109"/>
      <c r="B94" s="111"/>
      <c r="C94" s="111"/>
      <c r="D94" s="111"/>
      <c r="E94" s="111"/>
      <c r="F94" s="105" t="str">
        <f>IF(ISBLANK(B94),"",VLOOKUP(Schussbuch!E94,Wildarten!$A$3:$B$22,2,FALSE))</f>
        <v/>
      </c>
      <c r="G94" s="106"/>
      <c r="H94" s="111"/>
      <c r="I94" s="111"/>
      <c r="J94" s="111"/>
      <c r="K94" s="111"/>
      <c r="L94" s="113"/>
    </row>
    <row r="95" spans="1:12" ht="24" customHeight="1" x14ac:dyDescent="0.2">
      <c r="A95" s="102"/>
      <c r="B95" s="104"/>
      <c r="C95" s="104"/>
      <c r="D95" s="104"/>
      <c r="E95" s="104"/>
      <c r="F95" s="105" t="str">
        <f>IF(ISBLANK(B95),"",VLOOKUP(Schussbuch!E95,Wildarten!$A$3:$B$22,2,FALSE))</f>
        <v/>
      </c>
      <c r="G95" s="106"/>
      <c r="H95" s="104"/>
      <c r="I95" s="104"/>
      <c r="J95" s="104"/>
      <c r="K95" s="104"/>
      <c r="L95" s="108"/>
    </row>
    <row r="96" spans="1:12" ht="24" customHeight="1" x14ac:dyDescent="0.2">
      <c r="A96" s="109"/>
      <c r="B96" s="111"/>
      <c r="C96" s="111"/>
      <c r="D96" s="111"/>
      <c r="E96" s="111"/>
      <c r="F96" s="105" t="str">
        <f>IF(ISBLANK(B96),"",VLOOKUP(Schussbuch!E96,Wildarten!$A$3:$B$22,2,FALSE))</f>
        <v/>
      </c>
      <c r="G96" s="106"/>
      <c r="H96" s="111"/>
      <c r="I96" s="111"/>
      <c r="J96" s="111"/>
      <c r="K96" s="111"/>
      <c r="L96" s="113"/>
    </row>
    <row r="97" spans="1:12" ht="24" customHeight="1" x14ac:dyDescent="0.2">
      <c r="A97" s="102"/>
      <c r="B97" s="103"/>
      <c r="C97" s="104"/>
      <c r="D97" s="104"/>
      <c r="E97" s="104"/>
      <c r="F97" s="105" t="str">
        <f>IF(ISBLANK(B97),"",VLOOKUP(Schussbuch!E97,Wildarten!$A$3:$B$22,2,FALSE))</f>
        <v/>
      </c>
      <c r="G97" s="106"/>
      <c r="H97" s="104"/>
      <c r="I97" s="104"/>
      <c r="J97" s="104"/>
      <c r="K97" s="104"/>
      <c r="L97" s="108"/>
    </row>
    <row r="98" spans="1:12" ht="24" customHeight="1" x14ac:dyDescent="0.2">
      <c r="A98" s="109"/>
      <c r="B98" s="111"/>
      <c r="C98" s="111"/>
      <c r="D98" s="111"/>
      <c r="E98" s="111"/>
      <c r="F98" s="105" t="str">
        <f>IF(ISBLANK(B98),"",VLOOKUP(Schussbuch!E98,Wildarten!$A$3:$B$22,2,FALSE))</f>
        <v/>
      </c>
      <c r="G98" s="106"/>
      <c r="H98" s="111"/>
      <c r="I98" s="111"/>
      <c r="J98" s="111"/>
      <c r="K98" s="111"/>
      <c r="L98" s="113" t="s">
        <v>45</v>
      </c>
    </row>
    <row r="99" spans="1:12" ht="24" customHeight="1" x14ac:dyDescent="0.25">
      <c r="A99" s="114"/>
      <c r="B99" s="94"/>
      <c r="C99" s="94"/>
      <c r="D99" s="115"/>
      <c r="E99" s="115"/>
      <c r="F99" s="116" t="str">
        <f>IF(ISBLANK(B99),"",VLOOKUP(#REF!,Wildarten!$A$3:$B$22,2,FALSE))</f>
        <v/>
      </c>
      <c r="G99" s="117" t="s">
        <v>138</v>
      </c>
      <c r="H99" s="118">
        <f>SUM(H6:H98)</f>
        <v>0</v>
      </c>
      <c r="I99" s="94"/>
      <c r="J99" s="115"/>
      <c r="K99" s="115"/>
      <c r="L99" s="119" t="s">
        <v>139</v>
      </c>
    </row>
  </sheetData>
  <autoFilter ref="A2:G2" xr:uid="{4522E43C-9549-4ADF-83F3-003169FE46DB}"/>
  <mergeCells count="1">
    <mergeCell ref="A1:L1"/>
  </mergeCells>
  <pageMargins left="0.7" right="0.7" top="0.78740157499999996" bottom="0.78740157499999996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24"/>
  <sheetViews>
    <sheetView showGridLines="0" showZeros="0" showOutlineSymbols="0" defaultGridColor="0" colorId="8" zoomScale="125" zoomScaleNormal="12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B6" sqref="B6"/>
    </sheetView>
  </sheetViews>
  <sheetFormatPr baseColWidth="10" defaultRowHeight="11.25" customHeight="1" x14ac:dyDescent="0.2"/>
  <cols>
    <col min="1" max="1" width="13.140625" style="1" customWidth="1"/>
    <col min="2" max="7" width="6.7109375" style="1" customWidth="1"/>
    <col min="8" max="8" width="6.7109375" customWidth="1"/>
    <col min="9" max="27" width="6.7109375" style="1" customWidth="1"/>
    <col min="28" max="28" width="8.42578125" style="1" customWidth="1"/>
    <col min="29" max="16384" width="11.42578125" style="1"/>
  </cols>
  <sheetData>
    <row r="1" spans="1:28" ht="27.75" thickBot="1" x14ac:dyDescent="0.4">
      <c r="A1" s="66"/>
      <c r="B1" s="66" t="s">
        <v>91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</row>
    <row r="2" spans="1:28" ht="18" customHeight="1" x14ac:dyDescent="0.2">
      <c r="A2" s="67" t="s">
        <v>41</v>
      </c>
      <c r="B2" s="62" t="s">
        <v>119</v>
      </c>
      <c r="C2" s="62" t="s">
        <v>128</v>
      </c>
      <c r="D2" s="62" t="s">
        <v>129</v>
      </c>
      <c r="E2" s="62" t="s">
        <v>130</v>
      </c>
      <c r="F2" s="62" t="s">
        <v>131</v>
      </c>
      <c r="G2" s="62" t="s">
        <v>132</v>
      </c>
      <c r="H2" s="62" t="s">
        <v>134</v>
      </c>
      <c r="I2" s="62" t="s">
        <v>135</v>
      </c>
      <c r="J2" s="62" t="s">
        <v>136</v>
      </c>
      <c r="K2" s="62" t="s">
        <v>141</v>
      </c>
      <c r="L2" s="62" t="s">
        <v>142</v>
      </c>
      <c r="M2" s="62" t="s">
        <v>143</v>
      </c>
      <c r="N2" s="62" t="s">
        <v>144</v>
      </c>
      <c r="O2" s="62" t="s">
        <v>145</v>
      </c>
      <c r="P2" s="62" t="s">
        <v>146</v>
      </c>
      <c r="Q2" s="62" t="s">
        <v>147</v>
      </c>
      <c r="R2" s="62" t="s">
        <v>148</v>
      </c>
      <c r="S2" s="62" t="s">
        <v>149</v>
      </c>
      <c r="T2" s="62" t="s">
        <v>150</v>
      </c>
      <c r="U2" s="62" t="s">
        <v>151</v>
      </c>
      <c r="V2" s="62" t="s">
        <v>152</v>
      </c>
      <c r="W2" s="62" t="s">
        <v>153</v>
      </c>
      <c r="X2" s="62" t="s">
        <v>154</v>
      </c>
      <c r="Y2" s="62" t="s">
        <v>155</v>
      </c>
      <c r="Z2" s="62" t="s">
        <v>156</v>
      </c>
      <c r="AA2" s="62" t="s">
        <v>157</v>
      </c>
      <c r="AB2" s="60" t="s">
        <v>9</v>
      </c>
    </row>
    <row r="3" spans="1:28" ht="15" customHeight="1" x14ac:dyDescent="0.2">
      <c r="A3" s="65" t="s">
        <v>10</v>
      </c>
      <c r="B3" s="5">
        <f>SUMIFS(Schussbuch!$H$4:$H$200,Schussbuch!$F$4:$F$200,"Rotwild",Schussbuch!$A$4:$A$200,2024)</f>
        <v>0</v>
      </c>
      <c r="C3" s="5">
        <f>SUMIFS(Schussbuch!$H$4:$H$200,Schussbuch!$F$4:$F$200,"Rotwild",Schussbuch!$A$4:$A$200,2025)</f>
        <v>0</v>
      </c>
      <c r="D3" s="5">
        <f>SUMIFS(Schussbuch!$H$4:$H$200,Schussbuch!$F$4:$F$200,"Rotwild",Schussbuch!$A$4:$A$200,2026)</f>
        <v>0</v>
      </c>
      <c r="E3" s="5">
        <f>SUMIFS(Schussbuch!$H$4:$H$200,Schussbuch!$F$4:$F$200,"Rotwild",Schussbuch!$A$4:$A$200,2027)</f>
        <v>0</v>
      </c>
      <c r="F3" s="5">
        <f>SUMIFS(Schussbuch!$H$4:$H$200,Schussbuch!$F$4:$F$200,"Rotwild",Schussbuch!$A$4:$A$200,2028)</f>
        <v>0</v>
      </c>
      <c r="G3" s="5">
        <f>SUMIFS(Schussbuch!$H$4:$H$200,Schussbuch!$F$4:$F$200,"Rotwild",Schussbuch!$A$4:$A$200,2029)</f>
        <v>0</v>
      </c>
      <c r="H3" s="5">
        <f>SUMIFS(Schussbuch!$H$4:$H$200,Schussbuch!$F$4:$F$200,"Rotwild",Schussbuch!$A$4:$A$200,2030)</f>
        <v>0</v>
      </c>
      <c r="I3" s="5">
        <f>SUMIFS(Schussbuch!$H$4:$H$200,Schussbuch!$F$4:$F$200,"Rotwild",Schussbuch!$A$4:$A$200,2031)</f>
        <v>0</v>
      </c>
      <c r="J3" s="5">
        <f>SUMIFS(Schussbuch!$H$4:$H$200,Schussbuch!$F$4:$F$200,"Rotwild",Schussbuch!$A$4:$A$200,2032)</f>
        <v>0</v>
      </c>
      <c r="K3" s="5">
        <f>SUMIFS(Schussbuch!$H$4:$H$200,Schussbuch!$F$4:$F$200,"Rotwild",Schussbuch!$A$4:$A$200,2033)</f>
        <v>0</v>
      </c>
      <c r="L3" s="5">
        <f>SUMIFS(Schussbuch!$H$4:$H$200,Schussbuch!$F$4:$F$200,"Rotwild",Schussbuch!$A$4:$A$200,2034)</f>
        <v>0</v>
      </c>
      <c r="M3" s="5">
        <f>SUMIFS(Schussbuch!$H$4:$H$200,Schussbuch!$F$4:$F$200,"Rotwild",Schussbuch!$A$4:$A$200,2035)</f>
        <v>0</v>
      </c>
      <c r="N3" s="5">
        <f>SUMIFS(Schussbuch!$H$4:$H$200,Schussbuch!$F$4:$F$200,"Rotwild",Schussbuch!$A$4:$A$200,2036)</f>
        <v>0</v>
      </c>
      <c r="O3" s="5">
        <f>SUMIFS(Schussbuch!$H$4:$H$200,Schussbuch!$F$4:$F$200,"Rotwild",Schussbuch!$A$4:$A$200,2037)</f>
        <v>0</v>
      </c>
      <c r="P3" s="5">
        <f>SUMIFS(Schussbuch!$H$4:$H$200,Schussbuch!$F$4:$F$200,"Rotwild",Schussbuch!$A$4:$A$200,2038)</f>
        <v>0</v>
      </c>
      <c r="Q3" s="5">
        <f>SUMIFS(Schussbuch!$H$4:$H$200,Schussbuch!$F$4:$F$200,"Rotwild",Schussbuch!$A$4:$A$200,2039)</f>
        <v>0</v>
      </c>
      <c r="R3" s="5">
        <f>SUMIFS(Schussbuch!$H$4:$H$200,Schussbuch!$F$4:$F$200,"Rotwild",Schussbuch!$A$4:$A$200,2040)</f>
        <v>0</v>
      </c>
      <c r="S3" s="5">
        <f>SUMIFS(Schussbuch!$H$4:$H$200,Schussbuch!$F$4:$F$200,"Rotwild",Schussbuch!$A$4:$A$200,2041)</f>
        <v>0</v>
      </c>
      <c r="T3" s="5">
        <f>SUMIFS(Schussbuch!$H$4:$H$200,Schussbuch!$F$4:$F$200,"Rotwild",Schussbuch!$A$4:$A$200,2042)</f>
        <v>0</v>
      </c>
      <c r="U3" s="5">
        <f>SUMIFS(Schussbuch!$H$4:$H$200,Schussbuch!$F$4:$F$200,"Rotwild",Schussbuch!$A$4:$A$200,2043)</f>
        <v>0</v>
      </c>
      <c r="V3" s="5">
        <f>SUMIFS(Schussbuch!$H$4:$H$200,Schussbuch!$F$4:$F$200,"Rotwild",Schussbuch!$A$4:$A$200,2044)</f>
        <v>0</v>
      </c>
      <c r="W3" s="5">
        <f>SUMIFS(Schussbuch!$H$4:$H$200,Schussbuch!$F$4:$F$200,"Rotwild",Schussbuch!$A$4:$A$200,2045)</f>
        <v>0</v>
      </c>
      <c r="X3" s="5">
        <f>SUMIFS(Schussbuch!$H$4:$H$200,Schussbuch!$F$4:$F$200,"Rotwild",Schussbuch!$A$4:$A$200,2046)</f>
        <v>0</v>
      </c>
      <c r="Y3" s="5">
        <f>SUMIFS(Schussbuch!$H$4:$H$200,Schussbuch!$F$4:$F$200,"Rotwild",Schussbuch!$A$4:$A$200,2047)</f>
        <v>0</v>
      </c>
      <c r="Z3" s="5">
        <f>SUMIFS(Schussbuch!$H$4:$H$200,Schussbuch!$F$4:$F$200,"Rotwild",Schussbuch!$A$4:$A$200,2048)</f>
        <v>0</v>
      </c>
      <c r="AA3" s="5">
        <f>SUMIFS(Schussbuch!$H$4:$H$200,Schussbuch!$F$4:$F$200,"Rotwild",Schussbuch!$A$4:$A$200,2049)</f>
        <v>0</v>
      </c>
      <c r="AB3" s="8">
        <f>SUM(B3:AA3)</f>
        <v>0</v>
      </c>
    </row>
    <row r="4" spans="1:28" ht="15" customHeight="1" x14ac:dyDescent="0.2">
      <c r="A4" s="65" t="s">
        <v>11</v>
      </c>
      <c r="B4" s="5">
        <f>SUMIFS(Schussbuch!$H$4:$H$200,Schussbuch!$F$4:$F$200,"Schwarzwild",Schussbuch!$A$4:$A$200,2024)</f>
        <v>0</v>
      </c>
      <c r="C4" s="5">
        <f>SUMIFS(Schussbuch!$H$4:$H$200,Schussbuch!$F$4:$F$200,"Schwarzwild",Schussbuch!$A$4:$A$200,2025)</f>
        <v>0</v>
      </c>
      <c r="D4" s="5">
        <f>SUMIFS(Schussbuch!$H$4:$H$200,Schussbuch!$F$4:$F$200,"Schwarzwild",Schussbuch!$A$4:$A$200,2026)</f>
        <v>0</v>
      </c>
      <c r="E4" s="5">
        <f>SUMIFS(Schussbuch!$H$4:$H$200,Schussbuch!$F$4:$F$200,"Schwarzwild",Schussbuch!$A$4:$A$200,2027)</f>
        <v>0</v>
      </c>
      <c r="F4" s="5">
        <f>SUMIFS(Schussbuch!$H$4:$H$200,Schussbuch!$F$4:$F$200,"Schwarzwild",Schussbuch!$A$4:$A$200,2028)</f>
        <v>0</v>
      </c>
      <c r="G4" s="5">
        <f>SUMIFS(Schussbuch!$H$4:$H$200,Schussbuch!$F$4:$F$200,"Schwarzwild",Schussbuch!$A$4:$A$200,2029)</f>
        <v>0</v>
      </c>
      <c r="H4" s="5">
        <f>SUMIFS(Schussbuch!$H$4:$H$200,Schussbuch!$F$4:$F$200,"Schwarzwild",Schussbuch!$A$4:$A$200,2030)</f>
        <v>0</v>
      </c>
      <c r="I4" s="5">
        <f>SUMIFS(Schussbuch!$H$4:$H$200,Schussbuch!$F$4:$F$200,"Schwarzwild",Schussbuch!$A$4:$A$200,2031)</f>
        <v>0</v>
      </c>
      <c r="J4" s="5">
        <f>SUMIFS(Schussbuch!$H$4:$H$200,Schussbuch!$F$4:$F$200,"Schwarzwild",Schussbuch!$A$4:$A$200,2032)</f>
        <v>0</v>
      </c>
      <c r="K4" s="5">
        <f>SUMIFS(Schussbuch!$H$4:$H$200,Schussbuch!$F$4:$F$200,"Schwarzwild",Schussbuch!$A$4:$A$200,2033)</f>
        <v>0</v>
      </c>
      <c r="L4" s="5">
        <f>SUMIFS(Schussbuch!$H$4:$H$200,Schussbuch!$F$4:$F$200,"Schwarzwild",Schussbuch!$A$4:$A$200,2034)</f>
        <v>0</v>
      </c>
      <c r="M4" s="5">
        <f>SUMIFS(Schussbuch!$H$4:$H$200,Schussbuch!$F$4:$F$200,"Schwarzwild",Schussbuch!$A$4:$A$200,2035)</f>
        <v>0</v>
      </c>
      <c r="N4" s="5">
        <f>SUMIFS(Schussbuch!$H$4:$H$200,Schussbuch!$F$4:$F$200,"Schwarzwild",Schussbuch!$A$4:$A$200,2036)</f>
        <v>0</v>
      </c>
      <c r="O4" s="5">
        <f>SUMIFS(Schussbuch!$H$4:$H$200,Schussbuch!$F$4:$F$200,"Schwarzwild",Schussbuch!$A$4:$A$200,2037)</f>
        <v>0</v>
      </c>
      <c r="P4" s="5">
        <f>SUMIFS(Schussbuch!$H$4:$H$200,Schussbuch!$F$4:$F$200,"Schwarzwild",Schussbuch!$A$4:$A$200,2038)</f>
        <v>0</v>
      </c>
      <c r="Q4" s="5">
        <f>SUMIFS(Schussbuch!$H$4:$H$200,Schussbuch!$F$4:$F$200,"Schwarzwild",Schussbuch!$A$4:$A$200,2039)</f>
        <v>0</v>
      </c>
      <c r="R4" s="5">
        <f>SUMIFS(Schussbuch!$H$4:$H$200,Schussbuch!$F$4:$F$200,"Schwarzwild",Schussbuch!$A$4:$A$200,2040)</f>
        <v>0</v>
      </c>
      <c r="S4" s="5">
        <f>SUMIFS(Schussbuch!$H$4:$H$200,Schussbuch!$F$4:$F$200,"Schwarzwild",Schussbuch!$A$4:$A$200,2041)</f>
        <v>0</v>
      </c>
      <c r="T4" s="5">
        <f>SUMIFS(Schussbuch!$H$4:$H$200,Schussbuch!$F$4:$F$200,"Schwarzwild",Schussbuch!$A$4:$A$200,2042)</f>
        <v>0</v>
      </c>
      <c r="U4" s="5">
        <f>SUMIFS(Schussbuch!$H$4:$H$200,Schussbuch!$F$4:$F$200,"Schwarzwild",Schussbuch!$A$4:$A$200,2043)</f>
        <v>0</v>
      </c>
      <c r="V4" s="5">
        <f>SUMIFS(Schussbuch!$H$4:$H$200,Schussbuch!$F$4:$F$200,"Schwarzwild",Schussbuch!$A$4:$A$200,2044)</f>
        <v>0</v>
      </c>
      <c r="W4" s="5">
        <f>SUMIFS(Schussbuch!$H$4:$H$200,Schussbuch!$F$4:$F$200,"Schwarzwild",Schussbuch!$A$4:$A$200,2045)</f>
        <v>0</v>
      </c>
      <c r="X4" s="5">
        <f>SUMIFS(Schussbuch!$H$4:$H$200,Schussbuch!$F$4:$F$200,"Schwarzwild",Schussbuch!$A$4:$A$200,2046)</f>
        <v>0</v>
      </c>
      <c r="Y4" s="5">
        <f>SUMIFS(Schussbuch!$H$4:$H$200,Schussbuch!$F$4:$F$200,"Schwarzwild",Schussbuch!$A$4:$A$200,2047)</f>
        <v>0</v>
      </c>
      <c r="Z4" s="5">
        <f>SUMIFS(Schussbuch!$H$4:$H$200,Schussbuch!$F$4:$F$200,"Schwarzwild",Schussbuch!$A$4:$A$200,2048)</f>
        <v>0</v>
      </c>
      <c r="AA4" s="5">
        <f>SUMIFS(Schussbuch!$H$4:$H$200,Schussbuch!$F$4:$F$200,"Schwarzwild",Schussbuch!$A$4:$A$200,2049)</f>
        <v>0</v>
      </c>
      <c r="AB4" s="8">
        <f t="shared" ref="AB4:AB23" si="0">SUM(B4:AA4)</f>
        <v>0</v>
      </c>
    </row>
    <row r="5" spans="1:28" ht="15" customHeight="1" x14ac:dyDescent="0.2">
      <c r="A5" s="65" t="s">
        <v>12</v>
      </c>
      <c r="B5" s="5">
        <f>SUMIFS(Schussbuch!$H$3:$H$200,Schussbuch!$F$3:$F$200,"Rehwild",Schussbuch!$A$3:$A$200,2024)</f>
        <v>3</v>
      </c>
      <c r="C5" s="5">
        <f>SUMIFS(Schussbuch!$H$4:$H$200,Schussbuch!$F$4:$F$200,"Rehwild",Schussbuch!$A$4:$A$200,2025)</f>
        <v>0</v>
      </c>
      <c r="D5" s="5">
        <f>SUMIFS(Schussbuch!$H$4:$H$200,Schussbuch!$F$4:$F$200,"Rehwild",Schussbuch!$A$4:$A$200,2026)</f>
        <v>0</v>
      </c>
      <c r="E5" s="5">
        <f>SUMIFS(Schussbuch!$H$4:$H$200,Schussbuch!$F$4:$F$200,"Rehwild",Schussbuch!$A$4:$A$200,2027)</f>
        <v>0</v>
      </c>
      <c r="F5" s="5">
        <f>SUMIFS(Schussbuch!$H$4:$H$200,Schussbuch!$F$4:$F$200,"Rehwild",Schussbuch!$A$4:$A$200,2028)</f>
        <v>0</v>
      </c>
      <c r="G5" s="5">
        <f>SUMIFS(Schussbuch!$H$4:$H$200,Schussbuch!$F$4:$F$200,"Rehwild",Schussbuch!$A$4:$A$200,2029)</f>
        <v>0</v>
      </c>
      <c r="H5" s="5">
        <f>SUMIFS(Schussbuch!$H$4:$H$200,Schussbuch!$F$4:$F$200,"Rehwild",Schussbuch!$A$4:$A$200,2030)</f>
        <v>0</v>
      </c>
      <c r="I5" s="5">
        <f>SUMIFS(Schussbuch!$H$4:$H$200,Schussbuch!$F$4:$F$200,"Rehwild",Schussbuch!$A$4:$A$200,2031)</f>
        <v>0</v>
      </c>
      <c r="J5" s="5">
        <f>SUMIFS(Schussbuch!$H$4:$H$200,Schussbuch!$F$4:$F$200,"Rehwild",Schussbuch!$A$4:$A$200,2032)</f>
        <v>0</v>
      </c>
      <c r="K5" s="5">
        <f>SUMIFS(Schussbuch!$H$4:$H$200,Schussbuch!$F$4:$F$200,"Rehwild",Schussbuch!$A$4:$A$200,2033)</f>
        <v>0</v>
      </c>
      <c r="L5" s="5">
        <f>SUMIFS(Schussbuch!$H$4:$H$200,Schussbuch!$F$4:$F$200,"Rehwild",Schussbuch!$A$4:$A$200,2034)</f>
        <v>0</v>
      </c>
      <c r="M5" s="5">
        <f>SUMIFS(Schussbuch!$H$4:$H$200,Schussbuch!$F$4:$F$200,"Rehwild",Schussbuch!$A$4:$A$200,2035)</f>
        <v>0</v>
      </c>
      <c r="N5" s="5">
        <f>SUMIFS(Schussbuch!$H$4:$H$200,Schussbuch!$F$4:$F$200,"Rehwild",Schussbuch!$A$4:$A$200,2036)</f>
        <v>0</v>
      </c>
      <c r="O5" s="5">
        <f>SUMIFS(Schussbuch!$H$4:$H$200,Schussbuch!$F$4:$F$200,"Rehwild",Schussbuch!$A$4:$A$200,2037)</f>
        <v>0</v>
      </c>
      <c r="P5" s="5">
        <f>SUMIFS(Schussbuch!$H$4:$H$200,Schussbuch!$F$4:$F$200,"Rehwild",Schussbuch!$A$4:$A$200,2038)</f>
        <v>0</v>
      </c>
      <c r="Q5" s="5">
        <f>SUMIFS(Schussbuch!$H$4:$H$200,Schussbuch!$F$4:$F$200,"Rehwild",Schussbuch!$A$4:$A$200,2039)</f>
        <v>0</v>
      </c>
      <c r="R5" s="5">
        <f>SUMIFS(Schussbuch!$H$4:$H$200,Schussbuch!$F$4:$F$200,"Rehwild",Schussbuch!$A$4:$A$200,2040)</f>
        <v>0</v>
      </c>
      <c r="S5" s="5">
        <f>SUMIFS(Schussbuch!$H$4:$H$200,Schussbuch!$F$4:$F$200,"Rehwild",Schussbuch!$A$4:$A$200,2041)</f>
        <v>0</v>
      </c>
      <c r="T5" s="5">
        <f>SUMIFS(Schussbuch!$H$4:$H$200,Schussbuch!$F$4:$F$200,"Rehwild",Schussbuch!$A$4:$A$200,2042)</f>
        <v>0</v>
      </c>
      <c r="U5" s="5">
        <f>SUMIFS(Schussbuch!$H$4:$H$200,Schussbuch!$F$4:$F$200,"Rehwild",Schussbuch!$A$4:$A$200,2043)</f>
        <v>0</v>
      </c>
      <c r="V5" s="5">
        <f>SUMIFS(Schussbuch!$H$4:$H$200,Schussbuch!$F$4:$F$200,"Rehwild",Schussbuch!$A$4:$A$200,2044)</f>
        <v>0</v>
      </c>
      <c r="W5" s="5">
        <f>SUMIFS(Schussbuch!$H$4:$H$200,Schussbuch!$F$4:$F$200,"Rehwild",Schussbuch!$A$4:$A$200,2045)</f>
        <v>0</v>
      </c>
      <c r="X5" s="5">
        <f>SUMIFS(Schussbuch!$H$4:$H$200,Schussbuch!$F$4:$F$200,"Rehwild",Schussbuch!$A$4:$A$200,2046)</f>
        <v>0</v>
      </c>
      <c r="Y5" s="5">
        <f>SUMIFS(Schussbuch!$H$4:$H$200,Schussbuch!$F$4:$F$200,"Rehwild",Schussbuch!$A$4:$A$200,2047)</f>
        <v>0</v>
      </c>
      <c r="Z5" s="5">
        <f>SUMIFS(Schussbuch!$H$4:$H$200,Schussbuch!$F$4:$F$200,"Rehwild",Schussbuch!$A$4:$A$200,2048)</f>
        <v>0</v>
      </c>
      <c r="AA5" s="5">
        <f>SUMIFS(Schussbuch!$H$4:$H$200,Schussbuch!$F$4:$F$200,"Rehwild",Schussbuch!$A$4:$A$200,2049)</f>
        <v>0</v>
      </c>
      <c r="AB5" s="8">
        <f t="shared" si="0"/>
        <v>3</v>
      </c>
    </row>
    <row r="6" spans="1:28" ht="15" customHeight="1" x14ac:dyDescent="0.2">
      <c r="A6" s="65" t="s">
        <v>13</v>
      </c>
      <c r="B6" s="5">
        <f>SUMIFS(Schussbuch!$H$4:$H$200,Schussbuch!$F$4:$F$200,"Gamswild",Schussbuch!$A$4:$A$200,2024)</f>
        <v>0</v>
      </c>
      <c r="C6" s="5">
        <f>SUMIFS(Schussbuch!$H$4:$H$200,Schussbuch!$F$4:$F$200,"Gamswild",Schussbuch!$A$4:$A$200,2025)</f>
        <v>0</v>
      </c>
      <c r="D6" s="5">
        <f>SUMIFS(Schussbuch!$H$4:$H$200,Schussbuch!$F$4:$F$200,"Gamswild",Schussbuch!$A$4:$A$200,2026)</f>
        <v>0</v>
      </c>
      <c r="E6" s="5">
        <f>SUMIFS(Schussbuch!$H$4:$H$200,Schussbuch!$F$4:$F$200,"Gamswild",Schussbuch!$A$4:$A$200,2027)</f>
        <v>0</v>
      </c>
      <c r="F6" s="5">
        <f>SUMIFS(Schussbuch!$H$4:$H$200,Schussbuch!$F$4:$F$200,"Gamswild",Schussbuch!$A$4:$A$200,2028)</f>
        <v>0</v>
      </c>
      <c r="G6" s="5">
        <f>SUMIFS(Schussbuch!$H$4:$H$200,Schussbuch!$F$4:$F$200,"Gamswild",Schussbuch!$A$4:$A$200,2029)</f>
        <v>0</v>
      </c>
      <c r="H6" s="5">
        <f>SUMIFS(Schussbuch!$H$4:$H$200,Schussbuch!$F$4:$F$200,"Gamswild",Schussbuch!$A$4:$A$200,2030)</f>
        <v>0</v>
      </c>
      <c r="I6" s="5">
        <f>SUMIFS(Schussbuch!$H$4:$H$200,Schussbuch!$F$4:$F$200,"Gamswild",Schussbuch!$A$4:$A$200,2031)</f>
        <v>0</v>
      </c>
      <c r="J6" s="5">
        <f>SUMIFS(Schussbuch!$H$4:$H$200,Schussbuch!$F$4:$F$200,"Gamswild",Schussbuch!$A$4:$A$200,2032)</f>
        <v>0</v>
      </c>
      <c r="K6" s="5">
        <f>SUMIFS(Schussbuch!$H$4:$H$200,Schussbuch!$F$4:$F$200,"Gamswild",Schussbuch!$A$4:$A$200,2033)</f>
        <v>0</v>
      </c>
      <c r="L6" s="5">
        <f>SUMIFS(Schussbuch!$H$4:$H$200,Schussbuch!$F$4:$F$200,"Gamswild",Schussbuch!$A$4:$A$200,2034)</f>
        <v>0</v>
      </c>
      <c r="M6" s="5">
        <f>SUMIFS(Schussbuch!$H$4:$H$200,Schussbuch!$F$4:$F$200,"Gamswild",Schussbuch!$A$4:$A$200,2035)</f>
        <v>0</v>
      </c>
      <c r="N6" s="5">
        <f>SUMIFS(Schussbuch!$H$4:$H$200,Schussbuch!$F$4:$F$200,"Gamswild",Schussbuch!$A$4:$A$200,2036)</f>
        <v>0</v>
      </c>
      <c r="O6" s="5">
        <f>SUMIFS(Schussbuch!$H$4:$H$200,Schussbuch!$F$4:$F$200,"Gamswild",Schussbuch!$A$4:$A$200,2037)</f>
        <v>0</v>
      </c>
      <c r="P6" s="5">
        <f>SUMIFS(Schussbuch!$H$4:$H$200,Schussbuch!$F$4:$F$200,"Gamswild",Schussbuch!$A$4:$A$200,2038)</f>
        <v>0</v>
      </c>
      <c r="Q6" s="5">
        <f>SUMIFS(Schussbuch!$H$4:$H$200,Schussbuch!$F$4:$F$200,"Gamswild",Schussbuch!$A$4:$A$200,2039)</f>
        <v>0</v>
      </c>
      <c r="R6" s="5">
        <f>SUMIFS(Schussbuch!$H$4:$H$200,Schussbuch!$F$4:$F$200,"Gamswild",Schussbuch!$A$4:$A$200,2040)</f>
        <v>0</v>
      </c>
      <c r="S6" s="5">
        <f>SUMIFS(Schussbuch!$H$4:$H$200,Schussbuch!$F$4:$F$200,"Gamswild",Schussbuch!$A$4:$A$200,2041)</f>
        <v>0</v>
      </c>
      <c r="T6" s="5">
        <f>SUMIFS(Schussbuch!$H$4:$H$200,Schussbuch!$F$4:$F$200,"Gamswild",Schussbuch!$A$4:$A$200,2042)</f>
        <v>0</v>
      </c>
      <c r="U6" s="5">
        <f>SUMIFS(Schussbuch!$H$4:$H$200,Schussbuch!$F$4:$F$200,"Gamswild",Schussbuch!$A$4:$A$200,2043)</f>
        <v>0</v>
      </c>
      <c r="V6" s="5">
        <f>SUMIFS(Schussbuch!$H$4:$H$200,Schussbuch!$F$4:$F$200,"Gamswild",Schussbuch!$A$4:$A$200,2044)</f>
        <v>0</v>
      </c>
      <c r="W6" s="5">
        <f>SUMIFS(Schussbuch!$H$4:$H$200,Schussbuch!$F$4:$F$200,"Gamswild",Schussbuch!$A$4:$A$200,2045)</f>
        <v>0</v>
      </c>
      <c r="X6" s="5">
        <f>SUMIFS(Schussbuch!$H$4:$H$200,Schussbuch!$F$4:$F$200,"Gamswild",Schussbuch!$A$4:$A$200,2046)</f>
        <v>0</v>
      </c>
      <c r="Y6" s="5">
        <f>SUMIFS(Schussbuch!$H$4:$H$200,Schussbuch!$F$4:$F$200,"Gamswild",Schussbuch!$A$4:$A$200,2047)</f>
        <v>0</v>
      </c>
      <c r="Z6" s="5">
        <f>SUMIFS(Schussbuch!$H$4:$H$200,Schussbuch!$F$4:$F$200,"Gamswild",Schussbuch!$A$4:$A$200,2048)</f>
        <v>0</v>
      </c>
      <c r="AA6" s="5">
        <f>SUMIFS(Schussbuch!$H$4:$H$200,Schussbuch!$F$4:$F$200,"Gamswild",Schussbuch!$A$4:$A$200,2049)</f>
        <v>0</v>
      </c>
      <c r="AB6" s="8">
        <f t="shared" si="0"/>
        <v>0</v>
      </c>
    </row>
    <row r="7" spans="1:28" ht="15" customHeight="1" x14ac:dyDescent="0.2">
      <c r="A7" s="65" t="s">
        <v>14</v>
      </c>
      <c r="B7" s="5">
        <f>SUMIFS(Schussbuch!$H$4:$H$200,Schussbuch!$F$4:$F$200,"Damwild",Schussbuch!$A$4:$A$200,2024)</f>
        <v>0</v>
      </c>
      <c r="C7" s="5">
        <f>SUMIFS(Schussbuch!$H$4:$H$200,Schussbuch!$F$4:$F$200,"Damwild",Schussbuch!$A$4:$A$200,2025)</f>
        <v>0</v>
      </c>
      <c r="D7" s="5">
        <f>SUMIFS(Schussbuch!$H$4:$H$200,Schussbuch!$F$4:$F$200,"Damwild",Schussbuch!$A$4:$A$200,2026)</f>
        <v>0</v>
      </c>
      <c r="E7" s="5">
        <f>SUMIFS(Schussbuch!$H$4:$H$200,Schussbuch!$F$4:$F$200,"Damwild",Schussbuch!$A$4:$A$200,2027)</f>
        <v>0</v>
      </c>
      <c r="F7" s="5">
        <f>SUMIFS(Schussbuch!$H$4:$H$200,Schussbuch!$F$4:$F$200,"Damwild",Schussbuch!$A$4:$A$200,2028)</f>
        <v>0</v>
      </c>
      <c r="G7" s="5">
        <f>SUMIFS(Schussbuch!$H$4:$H$200,Schussbuch!$F$4:$F$200,"Damwild",Schussbuch!$A$4:$A$200,2029)</f>
        <v>0</v>
      </c>
      <c r="H7" s="5">
        <f>SUMIFS(Schussbuch!$H$4:$H$200,Schussbuch!$F$4:$F$200,"Damwild",Schussbuch!$A$4:$A$200,2030)</f>
        <v>0</v>
      </c>
      <c r="I7" s="5">
        <f>SUMIFS(Schussbuch!$H$4:$H$200,Schussbuch!$F$4:$F$200,"Damwild",Schussbuch!$A$4:$A$200,2031)</f>
        <v>0</v>
      </c>
      <c r="J7" s="5">
        <f>SUMIFS(Schussbuch!$H$4:$H$200,Schussbuch!$F$4:$F$200,"Damwild",Schussbuch!$A$4:$A$200,2032)</f>
        <v>0</v>
      </c>
      <c r="K7" s="5">
        <f>SUMIFS(Schussbuch!$H$4:$H$200,Schussbuch!$F$4:$F$200,"Damwild",Schussbuch!$A$4:$A$200,2033)</f>
        <v>0</v>
      </c>
      <c r="L7" s="5">
        <f>SUMIFS(Schussbuch!$H$4:$H$200,Schussbuch!$F$4:$F$200,"Damwild",Schussbuch!$A$4:$A$200,2034)</f>
        <v>0</v>
      </c>
      <c r="M7" s="5">
        <f>SUMIFS(Schussbuch!$H$4:$H$200,Schussbuch!$F$4:$F$200,"Damwild",Schussbuch!$A$4:$A$200,2035)</f>
        <v>0</v>
      </c>
      <c r="N7" s="5">
        <f>SUMIFS(Schussbuch!$H$4:$H$200,Schussbuch!$F$4:$F$200,"Damwild",Schussbuch!$A$4:$A$200,2036)</f>
        <v>0</v>
      </c>
      <c r="O7" s="5">
        <f>SUMIFS(Schussbuch!$H$4:$H$200,Schussbuch!$F$4:$F$200,"Damwild",Schussbuch!$A$4:$A$200,2037)</f>
        <v>0</v>
      </c>
      <c r="P7" s="5">
        <f>SUMIFS(Schussbuch!$H$4:$H$200,Schussbuch!$F$4:$F$200,"Damwild",Schussbuch!$A$4:$A$200,2038)</f>
        <v>0</v>
      </c>
      <c r="Q7" s="5">
        <f>SUMIFS(Schussbuch!$H$4:$H$200,Schussbuch!$F$4:$F$200,"Damwild",Schussbuch!$A$4:$A$200,2039)</f>
        <v>0</v>
      </c>
      <c r="R7" s="5">
        <f>SUMIFS(Schussbuch!$H$4:$H$200,Schussbuch!$F$4:$F$200,"Damwild",Schussbuch!$A$4:$A$200,2040)</f>
        <v>0</v>
      </c>
      <c r="S7" s="5">
        <f>SUMIFS(Schussbuch!$H$4:$H$200,Schussbuch!$F$4:$F$200,"Damwild",Schussbuch!$A$4:$A$200,2041)</f>
        <v>0</v>
      </c>
      <c r="T7" s="5">
        <f>SUMIFS(Schussbuch!$H$4:$H$200,Schussbuch!$F$4:$F$200,"Damwild",Schussbuch!$A$4:$A$200,2042)</f>
        <v>0</v>
      </c>
      <c r="U7" s="5">
        <f>SUMIFS(Schussbuch!$H$4:$H$200,Schussbuch!$F$4:$F$200,"Damwild",Schussbuch!$A$4:$A$200,2043)</f>
        <v>0</v>
      </c>
      <c r="V7" s="5">
        <f>SUMIFS(Schussbuch!$H$4:$H$200,Schussbuch!$F$4:$F$200,"Damwild",Schussbuch!$A$4:$A$200,2044)</f>
        <v>0</v>
      </c>
      <c r="W7" s="5">
        <f>SUMIFS(Schussbuch!$H$4:$H$200,Schussbuch!$F$4:$F$200,"Damwild",Schussbuch!$A$4:$A$200,2045)</f>
        <v>0</v>
      </c>
      <c r="X7" s="5">
        <f>SUMIFS(Schussbuch!$H$4:$H$200,Schussbuch!$F$4:$F$200,"Damwild",Schussbuch!$A$4:$A$200,2046)</f>
        <v>0</v>
      </c>
      <c r="Y7" s="5">
        <f>SUMIFS(Schussbuch!$H$4:$H$200,Schussbuch!$F$4:$F$200,"Damwild",Schussbuch!$A$4:$A$200,2047)</f>
        <v>0</v>
      </c>
      <c r="Z7" s="5">
        <f>SUMIFS(Schussbuch!$H$4:$H$200,Schussbuch!$F$4:$F$200,"Damwild",Schussbuch!$A$4:$A$200,2048)</f>
        <v>0</v>
      </c>
      <c r="AA7" s="5">
        <f>SUMIFS(Schussbuch!$H$4:$H$200,Schussbuch!$F$4:$F$200,"Damwild",Schussbuch!$A$4:$A$200,2049)</f>
        <v>0</v>
      </c>
      <c r="AB7" s="8">
        <f t="shared" si="0"/>
        <v>0</v>
      </c>
    </row>
    <row r="8" spans="1:28" ht="15" customHeight="1" x14ac:dyDescent="0.2">
      <c r="A8" s="65" t="s">
        <v>15</v>
      </c>
      <c r="B8" s="5">
        <f>SUMIFS(Schussbuch!$H$4:$H$200,Schussbuch!$F$4:$F$200,"Muffelwild",Schussbuch!$A$4:$A$200,2024)</f>
        <v>0</v>
      </c>
      <c r="C8" s="5">
        <f>SUMIFS(Schussbuch!$H$4:$H$200,Schussbuch!$F$4:$F$200,"Muffelwild",Schussbuch!$A$4:$A$200,2025)</f>
        <v>0</v>
      </c>
      <c r="D8" s="5">
        <f>SUMIFS(Schussbuch!$H$4:$H$200,Schussbuch!$F$4:$F$200,"Muffelwild",Schussbuch!$A$4:$A$200,2026)</f>
        <v>0</v>
      </c>
      <c r="E8" s="5">
        <f>SUMIFS(Schussbuch!$H$4:$H$200,Schussbuch!$F$4:$F$200,"Muffelwild",Schussbuch!$A$4:$A$200,2027)</f>
        <v>0</v>
      </c>
      <c r="F8" s="5">
        <f>SUMIFS(Schussbuch!$H$4:$H$200,Schussbuch!$F$4:$F$200,"Muffelwild",Schussbuch!$A$4:$A$200,2028)</f>
        <v>0</v>
      </c>
      <c r="G8" s="5">
        <f>SUMIFS(Schussbuch!$H$4:$H$200,Schussbuch!$F$4:$F$200,"Muffelwild",Schussbuch!$A$4:$A$200,2029)</f>
        <v>0</v>
      </c>
      <c r="H8" s="5">
        <f>SUMIFS(Schussbuch!$H$4:$H$200,Schussbuch!$F$4:$F$200,"Muffelwild",Schussbuch!$A$4:$A$200,2030)</f>
        <v>0</v>
      </c>
      <c r="I8" s="5">
        <f>SUMIFS(Schussbuch!$H$4:$H$200,Schussbuch!$F$4:$F$200,"Muffelwild",Schussbuch!$A$4:$A$200,2031)</f>
        <v>0</v>
      </c>
      <c r="J8" s="5">
        <f>SUMIFS(Schussbuch!$H$4:$H$200,Schussbuch!$F$4:$F$200,"Muffelwild",Schussbuch!$A$4:$A$200,2032)</f>
        <v>0</v>
      </c>
      <c r="K8" s="5">
        <f>SUMIFS(Schussbuch!$H$4:$H$200,Schussbuch!$F$4:$F$200,"Muffelwild",Schussbuch!$A$4:$A$200,2033)</f>
        <v>0</v>
      </c>
      <c r="L8" s="5">
        <f>SUMIFS(Schussbuch!$H$4:$H$200,Schussbuch!$F$4:$F$200,"Muffelwild",Schussbuch!$A$4:$A$200,2034)</f>
        <v>0</v>
      </c>
      <c r="M8" s="5">
        <f>SUMIFS(Schussbuch!$H$4:$H$200,Schussbuch!$F$4:$F$200,"Muffelwild",Schussbuch!$A$4:$A$200,2035)</f>
        <v>0</v>
      </c>
      <c r="N8" s="5">
        <f>SUMIFS(Schussbuch!$H$4:$H$200,Schussbuch!$F$4:$F$200,"Muffelwild",Schussbuch!$A$4:$A$200,2036)</f>
        <v>0</v>
      </c>
      <c r="O8" s="5">
        <f>SUMIFS(Schussbuch!$H$4:$H$200,Schussbuch!$F$4:$F$200,"Muffelwild",Schussbuch!$A$4:$A$200,2037)</f>
        <v>0</v>
      </c>
      <c r="P8" s="5">
        <f>SUMIFS(Schussbuch!$H$4:$H$200,Schussbuch!$F$4:$F$200,"Muffelwild",Schussbuch!$A$4:$A$200,2038)</f>
        <v>0</v>
      </c>
      <c r="Q8" s="5">
        <f>SUMIFS(Schussbuch!$H$4:$H$200,Schussbuch!$F$4:$F$200,"Muffelwild",Schussbuch!$A$4:$A$200,2039)</f>
        <v>0</v>
      </c>
      <c r="R8" s="5">
        <f>SUMIFS(Schussbuch!$H$4:$H$200,Schussbuch!$F$4:$F$200,"Muffelwild",Schussbuch!$A$4:$A$200,2040)</f>
        <v>0</v>
      </c>
      <c r="S8" s="5">
        <f>SUMIFS(Schussbuch!$H$4:$H$200,Schussbuch!$F$4:$F$200,"Muffelwild",Schussbuch!$A$4:$A$200,2041)</f>
        <v>0</v>
      </c>
      <c r="T8" s="5">
        <f>SUMIFS(Schussbuch!$H$4:$H$200,Schussbuch!$F$4:$F$200,"Muffelwild",Schussbuch!$A$4:$A$200,2042)</f>
        <v>0</v>
      </c>
      <c r="U8" s="5">
        <f>SUMIFS(Schussbuch!$H$4:$H$200,Schussbuch!$F$4:$F$200,"Muffelwild",Schussbuch!$A$4:$A$200,2043)</f>
        <v>0</v>
      </c>
      <c r="V8" s="5">
        <f>SUMIFS(Schussbuch!$H$4:$H$200,Schussbuch!$F$4:$F$200,"Muffelwild",Schussbuch!$A$4:$A$200,2044)</f>
        <v>0</v>
      </c>
      <c r="W8" s="5">
        <f>SUMIFS(Schussbuch!$H$4:$H$200,Schussbuch!$F$4:$F$200,"Muffelwild",Schussbuch!$A$4:$A$200,2045)</f>
        <v>0</v>
      </c>
      <c r="X8" s="5">
        <f>SUMIFS(Schussbuch!$H$4:$H$200,Schussbuch!$F$4:$F$200,"Muffelwild",Schussbuch!$A$4:$A$200,2046)</f>
        <v>0</v>
      </c>
      <c r="Y8" s="5">
        <f>SUMIFS(Schussbuch!$H$4:$H$200,Schussbuch!$F$4:$F$200,"Muffelwild",Schussbuch!$A$4:$A$200,2047)</f>
        <v>0</v>
      </c>
      <c r="Z8" s="5">
        <f>SUMIFS(Schussbuch!$H$4:$H$200,Schussbuch!$F$4:$F$200,"Muffelwild",Schussbuch!$A$4:$A$200,2048)</f>
        <v>0</v>
      </c>
      <c r="AA8" s="5">
        <f>SUMIFS(Schussbuch!$H$4:$H$200,Schussbuch!$F$4:$F$200,"Muffelwild",Schussbuch!$A$4:$A$200,2049)</f>
        <v>0</v>
      </c>
      <c r="AB8" s="8">
        <f t="shared" si="0"/>
        <v>0</v>
      </c>
    </row>
    <row r="9" spans="1:28" ht="15" customHeight="1" x14ac:dyDescent="0.2">
      <c r="A9" s="65" t="s">
        <v>19</v>
      </c>
      <c r="B9" s="5">
        <f>SUMIFS(Schussbuch!$H$4:$H$200,Schussbuch!$F$4:$F$200,"Hase",Schussbuch!$A$4:$A$200,2024)</f>
        <v>0</v>
      </c>
      <c r="C9" s="5">
        <f>SUMIFS(Schussbuch!$H$4:$H$200,Schussbuch!$F$4:$F$200,"Hase",Schussbuch!$A$4:$A$200,2025)</f>
        <v>0</v>
      </c>
      <c r="D9" s="5">
        <f>SUMIFS(Schussbuch!$H$4:$H$200,Schussbuch!$F$4:$F$200,"Hase",Schussbuch!$A$4:$A$200,2026)</f>
        <v>0</v>
      </c>
      <c r="E9" s="5">
        <f>SUMIFS(Schussbuch!$H$4:$H$200,Schussbuch!$F$4:$F$200,"Hase",Schussbuch!$A$4:$A$200,2027)</f>
        <v>0</v>
      </c>
      <c r="F9" s="5">
        <f>SUMIFS(Schussbuch!$H$4:$H$200,Schussbuch!$F$4:$F$200,"Hase",Schussbuch!$A$4:$A$200,2028)</f>
        <v>0</v>
      </c>
      <c r="G9" s="5">
        <f>SUMIFS(Schussbuch!$H$4:$H$200,Schussbuch!$F$4:$F$200,"Hase",Schussbuch!$A$4:$A$200,2029)</f>
        <v>0</v>
      </c>
      <c r="H9" s="5">
        <f>SUMIFS(Schussbuch!$H$4:$H$200,Schussbuch!$F$4:$F$200,"Hase",Schussbuch!$A$4:$A$200,2030)</f>
        <v>0</v>
      </c>
      <c r="I9" s="5">
        <f>SUMIFS(Schussbuch!$H$4:$H$200,Schussbuch!$F$4:$F$200,"Hase",Schussbuch!$A$4:$A$200,2031)</f>
        <v>0</v>
      </c>
      <c r="J9" s="5">
        <f>SUMIFS(Schussbuch!$H$4:$H$200,Schussbuch!$F$4:$F$200,"Hase",Schussbuch!$A$4:$A$200,2032)</f>
        <v>0</v>
      </c>
      <c r="K9" s="5">
        <f>SUMIFS(Schussbuch!$H$4:$H$200,Schussbuch!$F$4:$F$200,"Hase",Schussbuch!$A$4:$A$200,2033)</f>
        <v>0</v>
      </c>
      <c r="L9" s="5">
        <f>SUMIFS(Schussbuch!$H$4:$H$200,Schussbuch!$F$4:$F$200,"Hase",Schussbuch!$A$4:$A$200,2034)</f>
        <v>0</v>
      </c>
      <c r="M9" s="5">
        <f>SUMIFS(Schussbuch!$H$4:$H$200,Schussbuch!$F$4:$F$200,"Hase",Schussbuch!$A$4:$A$200,2035)</f>
        <v>0</v>
      </c>
      <c r="N9" s="5">
        <f>SUMIFS(Schussbuch!$H$4:$H$200,Schussbuch!$F$4:$F$200,"Hase",Schussbuch!$A$4:$A$200,2036)</f>
        <v>0</v>
      </c>
      <c r="O9" s="5">
        <f>SUMIFS(Schussbuch!$H$4:$H$200,Schussbuch!$F$4:$F$200,"Hase",Schussbuch!$A$4:$A$200,2037)</f>
        <v>0</v>
      </c>
      <c r="P9" s="5">
        <f>SUMIFS(Schussbuch!$H$4:$H$200,Schussbuch!$F$4:$F$200,"Hase",Schussbuch!$A$4:$A$200,2038)</f>
        <v>0</v>
      </c>
      <c r="Q9" s="5">
        <f>SUMIFS(Schussbuch!$H$4:$H$200,Schussbuch!$F$4:$F$200,"Hase",Schussbuch!$A$4:$A$200,2039)</f>
        <v>0</v>
      </c>
      <c r="R9" s="5">
        <f>SUMIFS(Schussbuch!$H$4:$H$200,Schussbuch!$F$4:$F$200,"Hase",Schussbuch!$A$4:$A$200,2040)</f>
        <v>0</v>
      </c>
      <c r="S9" s="5">
        <f>SUMIFS(Schussbuch!$H$4:$H$200,Schussbuch!$F$4:$F$200,"Hase",Schussbuch!$A$4:$A$200,2041)</f>
        <v>0</v>
      </c>
      <c r="T9" s="5">
        <f>SUMIFS(Schussbuch!$H$4:$H$200,Schussbuch!$F$4:$F$200,"Hase",Schussbuch!$A$4:$A$200,2042)</f>
        <v>0</v>
      </c>
      <c r="U9" s="5">
        <f>SUMIFS(Schussbuch!$H$4:$H$200,Schussbuch!$F$4:$F$200,"Hase",Schussbuch!$A$4:$A$200,2043)</f>
        <v>0</v>
      </c>
      <c r="V9" s="5">
        <f>SUMIFS(Schussbuch!$H$4:$H$200,Schussbuch!$F$4:$F$200,"Hase",Schussbuch!$A$4:$A$200,2044)</f>
        <v>0</v>
      </c>
      <c r="W9" s="5">
        <f>SUMIFS(Schussbuch!$H$4:$H$200,Schussbuch!$F$4:$F$200,"Hase",Schussbuch!$A$4:$A$200,2045)</f>
        <v>0</v>
      </c>
      <c r="X9" s="5">
        <f>SUMIFS(Schussbuch!$H$4:$H$200,Schussbuch!$F$4:$F$200,"Hase",Schussbuch!$A$4:$A$200,2046)</f>
        <v>0</v>
      </c>
      <c r="Y9" s="5">
        <f>SUMIFS(Schussbuch!$H$4:$H$200,Schussbuch!$F$4:$F$200,"Hase",Schussbuch!$A$4:$A$200,2047)</f>
        <v>0</v>
      </c>
      <c r="Z9" s="5">
        <f>SUMIFS(Schussbuch!$H$4:$H$200,Schussbuch!$F$4:$F$200,"Hase",Schussbuch!$A$4:$A$200,2048)</f>
        <v>0</v>
      </c>
      <c r="AA9" s="5">
        <f>SUMIFS(Schussbuch!$H$4:$H$200,Schussbuch!$F$4:$F$200,"Hase",Schussbuch!$A$4:$A$200,2049)</f>
        <v>0</v>
      </c>
      <c r="AB9" s="8">
        <f t="shared" si="0"/>
        <v>0</v>
      </c>
    </row>
    <row r="10" spans="1:28" ht="15" customHeight="1" x14ac:dyDescent="0.2">
      <c r="A10" s="65" t="s">
        <v>20</v>
      </c>
      <c r="B10" s="5">
        <f>SUMIFS(Schussbuch!$H$4:$H$200,Schussbuch!$F$4:$F$200,"Kanin",Schussbuch!$A$4:$A$200,2024)</f>
        <v>0</v>
      </c>
      <c r="C10" s="5">
        <f>SUMIFS(Schussbuch!$H$4:$H$200,Schussbuch!$F$4:$F$200,"Kanin",Schussbuch!$A$4:$A$200,2025)</f>
        <v>0</v>
      </c>
      <c r="D10" s="5">
        <f>SUMIFS(Schussbuch!$H$4:$H$200,Schussbuch!$F$4:$F$200,"Kanin",Schussbuch!$A$4:$A$200,2026)</f>
        <v>0</v>
      </c>
      <c r="E10" s="5">
        <f>SUMIFS(Schussbuch!$H$4:$H$200,Schussbuch!$F$4:$F$200,"Kanin",Schussbuch!$A$4:$A$200,2027)</f>
        <v>0</v>
      </c>
      <c r="F10" s="5">
        <f>SUMIFS(Schussbuch!$H$4:$H$200,Schussbuch!$F$4:$F$200,"Kanin",Schussbuch!$A$4:$A$200,2028)</f>
        <v>0</v>
      </c>
      <c r="G10" s="5">
        <f>SUMIFS(Schussbuch!$H$4:$H$200,Schussbuch!$F$4:$F$200,"Kanin",Schussbuch!$A$4:$A$200,2029)</f>
        <v>0</v>
      </c>
      <c r="H10" s="5">
        <f>SUMIFS(Schussbuch!$H$4:$H$200,Schussbuch!$F$4:$F$200,"Kanin",Schussbuch!$A$4:$A$200,2030)</f>
        <v>0</v>
      </c>
      <c r="I10" s="5">
        <f>SUMIFS(Schussbuch!$H$4:$H$200,Schussbuch!$F$4:$F$200,"Kanin",Schussbuch!$A$4:$A$200,2031)</f>
        <v>0</v>
      </c>
      <c r="J10" s="5">
        <f>SUMIFS(Schussbuch!$H$4:$H$200,Schussbuch!$F$4:$F$200,"Kanin",Schussbuch!$A$4:$A$200,2032)</f>
        <v>0</v>
      </c>
      <c r="K10" s="5">
        <f>SUMIFS(Schussbuch!$H$4:$H$200,Schussbuch!$F$4:$F$200,"Kanin",Schussbuch!$A$4:$A$200,2033)</f>
        <v>0</v>
      </c>
      <c r="L10" s="5">
        <f>SUMIFS(Schussbuch!$H$4:$H$200,Schussbuch!$F$4:$F$200,"Kanin",Schussbuch!$A$4:$A$200,2034)</f>
        <v>0</v>
      </c>
      <c r="M10" s="5">
        <f>SUMIFS(Schussbuch!$H$4:$H$200,Schussbuch!$F$4:$F$200,"Kanin",Schussbuch!$A$4:$A$200,2035)</f>
        <v>0</v>
      </c>
      <c r="N10" s="5">
        <f>SUMIFS(Schussbuch!$H$4:$H$200,Schussbuch!$F$4:$F$200,"Kanin",Schussbuch!$A$4:$A$200,2036)</f>
        <v>0</v>
      </c>
      <c r="O10" s="5">
        <f>SUMIFS(Schussbuch!$H$4:$H$200,Schussbuch!$F$4:$F$200,"Kanin",Schussbuch!$A$4:$A$200,2037)</f>
        <v>0</v>
      </c>
      <c r="P10" s="5">
        <f>SUMIFS(Schussbuch!$H$4:$H$200,Schussbuch!$F$4:$F$200,"Kanin",Schussbuch!$A$4:$A$200,2038)</f>
        <v>0</v>
      </c>
      <c r="Q10" s="5">
        <f>SUMIFS(Schussbuch!$H$4:$H$200,Schussbuch!$F$4:$F$200,"Kanin",Schussbuch!$A$4:$A$200,2039)</f>
        <v>0</v>
      </c>
      <c r="R10" s="5">
        <f>SUMIFS(Schussbuch!$H$4:$H$200,Schussbuch!$F$4:$F$200,"Kanin",Schussbuch!$A$4:$A$200,2040)</f>
        <v>0</v>
      </c>
      <c r="S10" s="5">
        <f>SUMIFS(Schussbuch!$H$4:$H$200,Schussbuch!$F$4:$F$200,"Kanin",Schussbuch!$A$4:$A$200,2041)</f>
        <v>0</v>
      </c>
      <c r="T10" s="5">
        <f>SUMIFS(Schussbuch!$H$4:$H$200,Schussbuch!$F$4:$F$200,"Kanin",Schussbuch!$A$4:$A$200,2042)</f>
        <v>0</v>
      </c>
      <c r="U10" s="5">
        <f>SUMIFS(Schussbuch!$H$4:$H$200,Schussbuch!$F$4:$F$200,"Kanin",Schussbuch!$A$4:$A$200,2043)</f>
        <v>0</v>
      </c>
      <c r="V10" s="5">
        <f>SUMIFS(Schussbuch!$H$4:$H$200,Schussbuch!$F$4:$F$200,"Kanin",Schussbuch!$A$4:$A$200,2044)</f>
        <v>0</v>
      </c>
      <c r="W10" s="5">
        <f>SUMIFS(Schussbuch!$H$4:$H$200,Schussbuch!$F$4:$F$200,"Kanin",Schussbuch!$A$4:$A$200,2045)</f>
        <v>0</v>
      </c>
      <c r="X10" s="5">
        <f>SUMIFS(Schussbuch!$H$4:$H$200,Schussbuch!$F$4:$F$200,"Kanin",Schussbuch!$A$4:$A$200,2046)</f>
        <v>0</v>
      </c>
      <c r="Y10" s="5">
        <f>SUMIFS(Schussbuch!$H$4:$H$200,Schussbuch!$F$4:$F$200,"Kanin",Schussbuch!$A$4:$A$200,2047)</f>
        <v>0</v>
      </c>
      <c r="Z10" s="5">
        <f>SUMIFS(Schussbuch!$H$4:$H$200,Schussbuch!$F$4:$F$200,"Kanin",Schussbuch!$A$4:$A$200,2048)</f>
        <v>0</v>
      </c>
      <c r="AA10" s="5">
        <f>SUMIFS(Schussbuch!$H$4:$H$200,Schussbuch!$F$4:$F$200,"Kanin",Schussbuch!$A$4:$A$200,2049)</f>
        <v>0</v>
      </c>
      <c r="AB10" s="8">
        <f t="shared" si="0"/>
        <v>0</v>
      </c>
    </row>
    <row r="11" spans="1:28" ht="15" customHeight="1" x14ac:dyDescent="0.2">
      <c r="A11" s="65" t="s">
        <v>21</v>
      </c>
      <c r="B11" s="5">
        <f>SUMIFS(Schussbuch!$H$4:$H$200,Schussbuch!$F$4:$F$200,"Fuchs",Schussbuch!$A$4:$A$200,2024)</f>
        <v>0</v>
      </c>
      <c r="C11" s="5">
        <f>SUMIFS(Schussbuch!$H$4:$H$200,Schussbuch!$F$4:$F$200,"Fuchs",Schussbuch!$A$4:$A$200,2025)</f>
        <v>0</v>
      </c>
      <c r="D11" s="5">
        <f>SUMIFS(Schussbuch!$H$4:$H$200,Schussbuch!$F$4:$F$200,"Fuchs",Schussbuch!$A$4:$A$200,2026)</f>
        <v>0</v>
      </c>
      <c r="E11" s="5">
        <f>SUMIFS(Schussbuch!$H$4:$H$200,Schussbuch!$F$4:$F$200,"Fuchs",Schussbuch!$A$4:$A$200,2027)</f>
        <v>0</v>
      </c>
      <c r="F11" s="5">
        <f>SUMIFS(Schussbuch!$H$4:$H$200,Schussbuch!$F$4:$F$200,"Fuchs",Schussbuch!$A$4:$A$200,2028)</f>
        <v>0</v>
      </c>
      <c r="G11" s="5">
        <f>SUMIFS(Schussbuch!$H$4:$H$200,Schussbuch!$F$4:$F$200,"Fuchs",Schussbuch!$A$4:$A$200,2029)</f>
        <v>0</v>
      </c>
      <c r="H11" s="5">
        <f>SUMIFS(Schussbuch!$H$4:$H$200,Schussbuch!$F$4:$F$200,"Fuchs",Schussbuch!$A$4:$A$200,2030)</f>
        <v>0</v>
      </c>
      <c r="I11" s="5">
        <f>SUMIFS(Schussbuch!$H$4:$H$200,Schussbuch!$F$4:$F$200,"Fuchs",Schussbuch!$A$4:$A$200,2031)</f>
        <v>0</v>
      </c>
      <c r="J11" s="5">
        <f>SUMIFS(Schussbuch!$H$4:$H$200,Schussbuch!$F$4:$F$200,"Fuchs",Schussbuch!$A$4:$A$200,2032)</f>
        <v>0</v>
      </c>
      <c r="K11" s="5">
        <f>SUMIFS(Schussbuch!$H$4:$H$200,Schussbuch!$F$4:$F$200,"Fuchs",Schussbuch!$A$4:$A$200,2033)</f>
        <v>0</v>
      </c>
      <c r="L11" s="5">
        <f>SUMIFS(Schussbuch!$H$4:$H$200,Schussbuch!$F$4:$F$200,"Fuchs",Schussbuch!$A$4:$A$200,2034)</f>
        <v>0</v>
      </c>
      <c r="M11" s="5">
        <f>SUMIFS(Schussbuch!$H$4:$H$200,Schussbuch!$F$4:$F$200,"Fuchs",Schussbuch!$A$4:$A$200,2035)</f>
        <v>0</v>
      </c>
      <c r="N11" s="5">
        <f>SUMIFS(Schussbuch!$H$4:$H$200,Schussbuch!$F$4:$F$200,"Fuchs",Schussbuch!$A$4:$A$200,2036)</f>
        <v>0</v>
      </c>
      <c r="O11" s="5">
        <f>SUMIFS(Schussbuch!$H$4:$H$200,Schussbuch!$F$4:$F$200,"Fuchs",Schussbuch!$A$4:$A$200,2037)</f>
        <v>0</v>
      </c>
      <c r="P11" s="5">
        <f>SUMIFS(Schussbuch!$H$4:$H$200,Schussbuch!$F$4:$F$200,"Fuchs",Schussbuch!$A$4:$A$200,2038)</f>
        <v>0</v>
      </c>
      <c r="Q11" s="5">
        <f>SUMIFS(Schussbuch!$H$4:$H$200,Schussbuch!$F$4:$F$200,"Fuchs",Schussbuch!$A$4:$A$200,2039)</f>
        <v>0</v>
      </c>
      <c r="R11" s="5">
        <f>SUMIFS(Schussbuch!$H$4:$H$200,Schussbuch!$F$4:$F$200,"Fuchs",Schussbuch!$A$4:$A$200,2040)</f>
        <v>0</v>
      </c>
      <c r="S11" s="5">
        <f>SUMIFS(Schussbuch!$H$4:$H$200,Schussbuch!$F$4:$F$200,"Fuchs",Schussbuch!$A$4:$A$200,2041)</f>
        <v>0</v>
      </c>
      <c r="T11" s="5">
        <f>SUMIFS(Schussbuch!$H$4:$H$200,Schussbuch!$F$4:$F$200,"Fuchs",Schussbuch!$A$4:$A$200,2042)</f>
        <v>0</v>
      </c>
      <c r="U11" s="5">
        <f>SUMIFS(Schussbuch!$H$4:$H$200,Schussbuch!$F$4:$F$200,"Fuchs",Schussbuch!$A$4:$A$200,2043)</f>
        <v>0</v>
      </c>
      <c r="V11" s="5">
        <f>SUMIFS(Schussbuch!$H$4:$H$200,Schussbuch!$F$4:$F$200,"Fuchs",Schussbuch!$A$4:$A$200,2044)</f>
        <v>0</v>
      </c>
      <c r="W11" s="5">
        <f>SUMIFS(Schussbuch!$H$4:$H$200,Schussbuch!$F$4:$F$200,"Fuchs",Schussbuch!$A$4:$A$200,2045)</f>
        <v>0</v>
      </c>
      <c r="X11" s="5">
        <f>SUMIFS(Schussbuch!$H$4:$H$200,Schussbuch!$F$4:$F$200,"Fuchs",Schussbuch!$A$4:$A$200,2046)</f>
        <v>0</v>
      </c>
      <c r="Y11" s="5">
        <f>SUMIFS(Schussbuch!$H$4:$H$200,Schussbuch!$F$4:$F$200,"Fuchs",Schussbuch!$A$4:$A$200,2047)</f>
        <v>0</v>
      </c>
      <c r="Z11" s="5">
        <f>SUMIFS(Schussbuch!$H$4:$H$200,Schussbuch!$F$4:$F$200,"Fuchs",Schussbuch!$A$4:$A$200,2048)</f>
        <v>0</v>
      </c>
      <c r="AA11" s="5">
        <f>SUMIFS(Schussbuch!$H$4:$H$200,Schussbuch!$F$4:$F$200,"Fuchs",Schussbuch!$A$4:$A$200,2049)</f>
        <v>0</v>
      </c>
      <c r="AB11" s="8">
        <f t="shared" si="0"/>
        <v>0</v>
      </c>
    </row>
    <row r="12" spans="1:28" ht="15" customHeight="1" x14ac:dyDescent="0.2">
      <c r="A12" s="65" t="s">
        <v>22</v>
      </c>
      <c r="B12" s="5">
        <f>SUMIFS(Schussbuch!$H$4:$H$200,Schussbuch!$F$4:$F$200,"Marder",Schussbuch!$A$4:$A$200,2024)</f>
        <v>0</v>
      </c>
      <c r="C12" s="5">
        <f>SUMIFS(Schussbuch!$H$4:$H$200,Schussbuch!$F$4:$F$200,"Marder",Schussbuch!$A$4:$A$200,2025)</f>
        <v>0</v>
      </c>
      <c r="D12" s="5">
        <f>SUMIFS(Schussbuch!$H$4:$H$200,Schussbuch!$F$4:$F$200,"Marder",Schussbuch!$A$4:$A$200,2026)</f>
        <v>0</v>
      </c>
      <c r="E12" s="5">
        <f>SUMIFS(Schussbuch!$H$4:$H$200,Schussbuch!$F$4:$F$200,"Marder",Schussbuch!$A$4:$A$200,2027)</f>
        <v>0</v>
      </c>
      <c r="F12" s="5">
        <f>SUMIFS(Schussbuch!$H$4:$H$200,Schussbuch!$F$4:$F$200,"Marder",Schussbuch!$A$4:$A$200,2028)</f>
        <v>0</v>
      </c>
      <c r="G12" s="5">
        <f>SUMIFS(Schussbuch!$H$4:$H$200,Schussbuch!$F$4:$F$200,"Marder",Schussbuch!$A$4:$A$200,2029)</f>
        <v>0</v>
      </c>
      <c r="H12" s="5">
        <f>SUMIFS(Schussbuch!$H$4:$H$200,Schussbuch!$F$4:$F$200,"Marder",Schussbuch!$A$4:$A$200,2030)</f>
        <v>0</v>
      </c>
      <c r="I12" s="5">
        <f>SUMIFS(Schussbuch!$H$4:$H$200,Schussbuch!$F$4:$F$200,"Marder",Schussbuch!$A$4:$A$200,2031)</f>
        <v>0</v>
      </c>
      <c r="J12" s="5">
        <f>SUMIFS(Schussbuch!$H$4:$H$200,Schussbuch!$F$4:$F$200,"Marder",Schussbuch!$A$4:$A$200,2032)</f>
        <v>0</v>
      </c>
      <c r="K12" s="5">
        <f>SUMIFS(Schussbuch!$H$4:$H$200,Schussbuch!$F$4:$F$200,"Marder",Schussbuch!$A$4:$A$200,2033)</f>
        <v>0</v>
      </c>
      <c r="L12" s="5">
        <f>SUMIFS(Schussbuch!$H$4:$H$200,Schussbuch!$F$4:$F$200,"Marder",Schussbuch!$A$4:$A$200,2034)</f>
        <v>0</v>
      </c>
      <c r="M12" s="5">
        <f>SUMIFS(Schussbuch!$H$4:$H$200,Schussbuch!$F$4:$F$200,"Marder",Schussbuch!$A$4:$A$200,2035)</f>
        <v>0</v>
      </c>
      <c r="N12" s="5">
        <f>SUMIFS(Schussbuch!$H$4:$H$200,Schussbuch!$F$4:$F$200,"Marder",Schussbuch!$A$4:$A$200,2036)</f>
        <v>0</v>
      </c>
      <c r="O12" s="5">
        <f>SUMIFS(Schussbuch!$H$4:$H$200,Schussbuch!$F$4:$F$200,"Marder",Schussbuch!$A$4:$A$200,2037)</f>
        <v>0</v>
      </c>
      <c r="P12" s="5">
        <f>SUMIFS(Schussbuch!$H$4:$H$200,Schussbuch!$F$4:$F$200,"Marder",Schussbuch!$A$4:$A$200,2038)</f>
        <v>0</v>
      </c>
      <c r="Q12" s="5">
        <f>SUMIFS(Schussbuch!$H$4:$H$200,Schussbuch!$F$4:$F$200,"Marder",Schussbuch!$A$4:$A$200,2039)</f>
        <v>0</v>
      </c>
      <c r="R12" s="5">
        <f>SUMIFS(Schussbuch!$H$4:$H$200,Schussbuch!$F$4:$F$200,"Marder",Schussbuch!$A$4:$A$200,2040)</f>
        <v>0</v>
      </c>
      <c r="S12" s="5">
        <f>SUMIFS(Schussbuch!$H$4:$H$200,Schussbuch!$F$4:$F$200,"Marder",Schussbuch!$A$4:$A$200,2041)</f>
        <v>0</v>
      </c>
      <c r="T12" s="5">
        <f>SUMIFS(Schussbuch!$H$4:$H$200,Schussbuch!$F$4:$F$200,"Marder",Schussbuch!$A$4:$A$200,2042)</f>
        <v>0</v>
      </c>
      <c r="U12" s="5">
        <f>SUMIFS(Schussbuch!$H$4:$H$200,Schussbuch!$F$4:$F$200,"Marder",Schussbuch!$A$4:$A$200,2043)</f>
        <v>0</v>
      </c>
      <c r="V12" s="5">
        <f>SUMIFS(Schussbuch!$H$4:$H$200,Schussbuch!$F$4:$F$200,"Marder",Schussbuch!$A$4:$A$200,2044)</f>
        <v>0</v>
      </c>
      <c r="W12" s="5">
        <f>SUMIFS(Schussbuch!$H$4:$H$200,Schussbuch!$F$4:$F$200,"Marder",Schussbuch!$A$4:$A$200,2045)</f>
        <v>0</v>
      </c>
      <c r="X12" s="5">
        <f>SUMIFS(Schussbuch!$H$4:$H$200,Schussbuch!$F$4:$F$200,"Marder",Schussbuch!$A$4:$A$200,2046)</f>
        <v>0</v>
      </c>
      <c r="Y12" s="5">
        <f>SUMIFS(Schussbuch!$H$4:$H$200,Schussbuch!$F$4:$F$200,"Marder",Schussbuch!$A$4:$A$200,2047)</f>
        <v>0</v>
      </c>
      <c r="Z12" s="5">
        <f>SUMIFS(Schussbuch!$H$4:$H$200,Schussbuch!$F$4:$F$200,"Marder",Schussbuch!$A$4:$A$200,2048)</f>
        <v>0</v>
      </c>
      <c r="AA12" s="5">
        <f>SUMIFS(Schussbuch!$H$4:$H$200,Schussbuch!$F$4:$F$200,"Marder",Schussbuch!$A$4:$A$200,2049)</f>
        <v>0</v>
      </c>
      <c r="AB12" s="8">
        <f t="shared" si="0"/>
        <v>0</v>
      </c>
    </row>
    <row r="13" spans="1:28" ht="15" customHeight="1" x14ac:dyDescent="0.2">
      <c r="A13" s="65" t="s">
        <v>23</v>
      </c>
      <c r="B13" s="5">
        <f>SUMIFS(Schussbuch!$H$4:$H$200,Schussbuch!$F$4:$F$200,"Fasan",Schussbuch!$A$4:$A$200,2024)</f>
        <v>0</v>
      </c>
      <c r="C13" s="5">
        <f>SUMIFS(Schussbuch!$H$4:$H$200,Schussbuch!$F$4:$F$200,"Fasan",Schussbuch!$A$4:$A$200,2025)</f>
        <v>0</v>
      </c>
      <c r="D13" s="5">
        <f>SUMIFS(Schussbuch!$H$4:$H$200,Schussbuch!$F$4:$F$200,"Fasan",Schussbuch!$A$4:$A$200,2026)</f>
        <v>0</v>
      </c>
      <c r="E13" s="5">
        <f>SUMIFS(Schussbuch!$H$4:$H$200,Schussbuch!$F$4:$F$200,"Fasan",Schussbuch!$A$4:$A$200,2027)</f>
        <v>0</v>
      </c>
      <c r="F13" s="5">
        <f>SUMIFS(Schussbuch!$H$4:$H$200,Schussbuch!$F$4:$F$200,"Fasan",Schussbuch!$A$4:$A$200,2028)</f>
        <v>0</v>
      </c>
      <c r="G13" s="5">
        <f>SUMIFS(Schussbuch!$H$4:$H$200,Schussbuch!$F$4:$F$200,"Fasan",Schussbuch!$A$4:$A$200,2029)</f>
        <v>0</v>
      </c>
      <c r="H13" s="5">
        <f>SUMIFS(Schussbuch!$H$4:$H$200,Schussbuch!$F$4:$F$200,"Fasan",Schussbuch!$A$4:$A$200,2030)</f>
        <v>0</v>
      </c>
      <c r="I13" s="5">
        <f>SUMIFS(Schussbuch!$H$4:$H$200,Schussbuch!$F$4:$F$200,"Fasan",Schussbuch!$A$4:$A$200,2031)</f>
        <v>0</v>
      </c>
      <c r="J13" s="5">
        <f>SUMIFS(Schussbuch!$H$4:$H$200,Schussbuch!$F$4:$F$200,"Fasan",Schussbuch!$A$4:$A$200,2032)</f>
        <v>0</v>
      </c>
      <c r="K13" s="5">
        <f>SUMIFS(Schussbuch!$H$4:$H$200,Schussbuch!$F$4:$F$200,"Fasan",Schussbuch!$A$4:$A$200,2033)</f>
        <v>0</v>
      </c>
      <c r="L13" s="5">
        <f>SUMIFS(Schussbuch!$H$4:$H$200,Schussbuch!$F$4:$F$200,"Fasan",Schussbuch!$A$4:$A$200,2034)</f>
        <v>0</v>
      </c>
      <c r="M13" s="5">
        <f>SUMIFS(Schussbuch!$H$4:$H$200,Schussbuch!$F$4:$F$200,"Fasan",Schussbuch!$A$4:$A$200,2035)</f>
        <v>0</v>
      </c>
      <c r="N13" s="5">
        <f>SUMIFS(Schussbuch!$H$4:$H$200,Schussbuch!$F$4:$F$200,"Fasan",Schussbuch!$A$4:$A$200,2036)</f>
        <v>0</v>
      </c>
      <c r="O13" s="5">
        <f>SUMIFS(Schussbuch!$H$4:$H$200,Schussbuch!$F$4:$F$200,"Fasan",Schussbuch!$A$4:$A$200,2037)</f>
        <v>0</v>
      </c>
      <c r="P13" s="5">
        <f>SUMIFS(Schussbuch!$H$4:$H$200,Schussbuch!$F$4:$F$200,"Fasan",Schussbuch!$A$4:$A$200,2038)</f>
        <v>0</v>
      </c>
      <c r="Q13" s="5">
        <f>SUMIFS(Schussbuch!$H$4:$H$200,Schussbuch!$F$4:$F$200,"Fasan",Schussbuch!$A$4:$A$200,2039)</f>
        <v>0</v>
      </c>
      <c r="R13" s="5">
        <f>SUMIFS(Schussbuch!$H$4:$H$200,Schussbuch!$F$4:$F$200,"Fasan",Schussbuch!$A$4:$A$200,2040)</f>
        <v>0</v>
      </c>
      <c r="S13" s="5">
        <f>SUMIFS(Schussbuch!$H$4:$H$200,Schussbuch!$F$4:$F$200,"Fasan",Schussbuch!$A$4:$A$200,2041)</f>
        <v>0</v>
      </c>
      <c r="T13" s="5">
        <f>SUMIFS(Schussbuch!$H$4:$H$200,Schussbuch!$F$4:$F$200,"Fasan",Schussbuch!$A$4:$A$200,2042)</f>
        <v>0</v>
      </c>
      <c r="U13" s="5">
        <f>SUMIFS(Schussbuch!$H$4:$H$200,Schussbuch!$F$4:$F$200,"Fasan",Schussbuch!$A$4:$A$200,2043)</f>
        <v>0</v>
      </c>
      <c r="V13" s="5">
        <f>SUMIFS(Schussbuch!$H$4:$H$200,Schussbuch!$F$4:$F$200,"Fasan",Schussbuch!$A$4:$A$200,2044)</f>
        <v>0</v>
      </c>
      <c r="W13" s="5">
        <f>SUMIFS(Schussbuch!$H$4:$H$200,Schussbuch!$F$4:$F$200,"Fasan",Schussbuch!$A$4:$A$200,2045)</f>
        <v>0</v>
      </c>
      <c r="X13" s="5">
        <f>SUMIFS(Schussbuch!$H$4:$H$200,Schussbuch!$F$4:$F$200,"Fasan",Schussbuch!$A$4:$A$200,2046)</f>
        <v>0</v>
      </c>
      <c r="Y13" s="5">
        <f>SUMIFS(Schussbuch!$H$4:$H$200,Schussbuch!$F$4:$F$200,"Fasan",Schussbuch!$A$4:$A$200,2047)</f>
        <v>0</v>
      </c>
      <c r="Z13" s="5">
        <f>SUMIFS(Schussbuch!$H$4:$H$200,Schussbuch!$F$4:$F$200,"Fasan",Schussbuch!$A$4:$A$200,2048)</f>
        <v>0</v>
      </c>
      <c r="AA13" s="5">
        <f>SUMIFS(Schussbuch!$H$4:$H$200,Schussbuch!$F$4:$F$200,"Fasan",Schussbuch!$A$4:$A$200,2049)</f>
        <v>0</v>
      </c>
      <c r="AB13" s="8">
        <f t="shared" si="0"/>
        <v>0</v>
      </c>
    </row>
    <row r="14" spans="1:28" ht="15" customHeight="1" x14ac:dyDescent="0.2">
      <c r="A14" s="68" t="s">
        <v>25</v>
      </c>
      <c r="B14" s="5">
        <f>SUMIFS(Schussbuch!$H$4:$H$200,Schussbuch!$F$4:$F$200,"Gans",Schussbuch!$A$4:$A$200,2024)</f>
        <v>0</v>
      </c>
      <c r="C14" s="5">
        <f>SUMIFS(Schussbuch!$H$4:$H$200,Schussbuch!$F$4:$F$200,"Gans",Schussbuch!$A$4:$A$200,2025)</f>
        <v>0</v>
      </c>
      <c r="D14" s="5">
        <f>SUMIFS(Schussbuch!$H$4:$H$200,Schussbuch!$F$4:$F$200,"Gans",Schussbuch!$A$4:$A$200,2026)</f>
        <v>0</v>
      </c>
      <c r="E14" s="5">
        <f>SUMIFS(Schussbuch!$H$4:$H$200,Schussbuch!$F$4:$F$200,"Gans",Schussbuch!$A$4:$A$200,2027)</f>
        <v>0</v>
      </c>
      <c r="F14" s="5">
        <f>SUMIFS(Schussbuch!$H$4:$H$200,Schussbuch!$F$4:$F$200,"Gans",Schussbuch!$A$4:$A$200,2028)</f>
        <v>0</v>
      </c>
      <c r="G14" s="5">
        <f>SUMIFS(Schussbuch!$H$4:$H$200,Schussbuch!$F$4:$F$200,"Gans",Schussbuch!$A$4:$A$200,2029)</f>
        <v>0</v>
      </c>
      <c r="H14" s="5">
        <f>SUMIFS(Schussbuch!$H$4:$H$200,Schussbuch!$F$4:$F$200,"Gans",Schussbuch!$A$4:$A$200,2030)</f>
        <v>0</v>
      </c>
      <c r="I14" s="5">
        <f>SUMIFS(Schussbuch!$H$4:$H$200,Schussbuch!$F$4:$F$200,"Gans",Schussbuch!$A$4:$A$200,2031)</f>
        <v>0</v>
      </c>
      <c r="J14" s="5">
        <f>SUMIFS(Schussbuch!$H$4:$H$200,Schussbuch!$F$4:$F$200,"Gans",Schussbuch!$A$4:$A$200,2032)</f>
        <v>0</v>
      </c>
      <c r="K14" s="5">
        <f>SUMIFS(Schussbuch!$H$4:$H$200,Schussbuch!$F$4:$F$200,"Gans",Schussbuch!$A$4:$A$200,2033)</f>
        <v>0</v>
      </c>
      <c r="L14" s="5">
        <f>SUMIFS(Schussbuch!$H$4:$H$200,Schussbuch!$F$4:$F$200,"Gans",Schussbuch!$A$4:$A$200,2034)</f>
        <v>0</v>
      </c>
      <c r="M14" s="5">
        <f>SUMIFS(Schussbuch!$H$4:$H$200,Schussbuch!$F$4:$F$200,"Gans",Schussbuch!$A$4:$A$200,2035)</f>
        <v>0</v>
      </c>
      <c r="N14" s="5">
        <f>SUMIFS(Schussbuch!$H$4:$H$200,Schussbuch!$F$4:$F$200,"Gans",Schussbuch!$A$4:$A$200,2036)</f>
        <v>0</v>
      </c>
      <c r="O14" s="5">
        <f>SUMIFS(Schussbuch!$H$4:$H$200,Schussbuch!$F$4:$F$200,"Gans",Schussbuch!$A$4:$A$200,2037)</f>
        <v>0</v>
      </c>
      <c r="P14" s="5">
        <f>SUMIFS(Schussbuch!$H$4:$H$200,Schussbuch!$F$4:$F$200,"Gans",Schussbuch!$A$4:$A$200,2038)</f>
        <v>0</v>
      </c>
      <c r="Q14" s="5">
        <f>SUMIFS(Schussbuch!$H$4:$H$200,Schussbuch!$F$4:$F$200,"Gans",Schussbuch!$A$4:$A$200,2039)</f>
        <v>0</v>
      </c>
      <c r="R14" s="5">
        <f>SUMIFS(Schussbuch!$H$4:$H$200,Schussbuch!$F$4:$F$200,"Gans",Schussbuch!$A$4:$A$200,2040)</f>
        <v>0</v>
      </c>
      <c r="S14" s="5">
        <f>SUMIFS(Schussbuch!$H$4:$H$200,Schussbuch!$F$4:$F$200,"Gans",Schussbuch!$A$4:$A$200,2041)</f>
        <v>0</v>
      </c>
      <c r="T14" s="5">
        <f>SUMIFS(Schussbuch!$H$4:$H$200,Schussbuch!$F$4:$F$200,"Gans",Schussbuch!$A$4:$A$200,2042)</f>
        <v>0</v>
      </c>
      <c r="U14" s="5">
        <f>SUMIFS(Schussbuch!$H$4:$H$200,Schussbuch!$F$4:$F$200,"Gans",Schussbuch!$A$4:$A$200,2043)</f>
        <v>0</v>
      </c>
      <c r="V14" s="5">
        <f>SUMIFS(Schussbuch!$H$4:$H$200,Schussbuch!$F$4:$F$200,"Gans",Schussbuch!$A$4:$A$200,2044)</f>
        <v>0</v>
      </c>
      <c r="W14" s="5">
        <f>SUMIFS(Schussbuch!$H$4:$H$200,Schussbuch!$F$4:$F$200,"Gans",Schussbuch!$A$4:$A$200,2045)</f>
        <v>0</v>
      </c>
      <c r="X14" s="5">
        <f>SUMIFS(Schussbuch!$H$4:$H$200,Schussbuch!$F$4:$F$200,"Gans",Schussbuch!$A$4:$A$200,2046)</f>
        <v>0</v>
      </c>
      <c r="Y14" s="5">
        <f>SUMIFS(Schussbuch!$H$4:$H$200,Schussbuch!$F$4:$F$200,"Gans",Schussbuch!$A$4:$A$200,2047)</f>
        <v>0</v>
      </c>
      <c r="Z14" s="5">
        <f>SUMIFS(Schussbuch!$H$4:$H$200,Schussbuch!$F$4:$F$200,"Gans",Schussbuch!$A$4:$A$200,2048)</f>
        <v>0</v>
      </c>
      <c r="AA14" s="5">
        <f>SUMIFS(Schussbuch!$H$4:$H$200,Schussbuch!$F$4:$F$200,"Gans",Schussbuch!$A$4:$A$200,2049)</f>
        <v>0</v>
      </c>
      <c r="AB14" s="8">
        <f t="shared" si="0"/>
        <v>0</v>
      </c>
    </row>
    <row r="15" spans="1:28" ht="15" customHeight="1" x14ac:dyDescent="0.2">
      <c r="A15" s="65" t="s">
        <v>24</v>
      </c>
      <c r="B15" s="5">
        <f>SUMIFS(Schussbuch!$H$4:$H$200,Schussbuch!$F$4:$F$200,"Ente",Schussbuch!$A$4:$A$200,2024)</f>
        <v>0</v>
      </c>
      <c r="C15" s="5">
        <f>SUMIFS(Schussbuch!$H$4:$H$200,Schussbuch!$F$4:$F$200,"Ente",Schussbuch!$A$4:$A$200,2025)</f>
        <v>0</v>
      </c>
      <c r="D15" s="5">
        <f>SUMIFS(Schussbuch!$H$4:$H$200,Schussbuch!$F$4:$F$200,"Ente",Schussbuch!$A$4:$A$200,2026)</f>
        <v>0</v>
      </c>
      <c r="E15" s="5">
        <f>SUMIFS(Schussbuch!$H$4:$H$200,Schussbuch!$F$4:$F$200,"Ente",Schussbuch!$A$4:$A$200,2027)</f>
        <v>0</v>
      </c>
      <c r="F15" s="5">
        <f>SUMIFS(Schussbuch!$H$4:$H$200,Schussbuch!$F$4:$F$200,"Ente",Schussbuch!$A$4:$A$200,2028)</f>
        <v>0</v>
      </c>
      <c r="G15" s="5">
        <f>SUMIFS(Schussbuch!$H$4:$H$200,Schussbuch!$F$4:$F$200,"Ente",Schussbuch!$A$4:$A$200,2029)</f>
        <v>0</v>
      </c>
      <c r="H15" s="5">
        <f>SUMIFS(Schussbuch!$H$4:$H$200,Schussbuch!$F$4:$F$200,"Ente",Schussbuch!$A$4:$A$200,2030)</f>
        <v>0</v>
      </c>
      <c r="I15" s="5">
        <f>SUMIFS(Schussbuch!$H$4:$H$200,Schussbuch!$F$4:$F$200,"Ente",Schussbuch!$A$4:$A$200,2031)</f>
        <v>0</v>
      </c>
      <c r="J15" s="5">
        <f>SUMIFS(Schussbuch!$H$4:$H$200,Schussbuch!$F$4:$F$200,"Ente",Schussbuch!$A$4:$A$200,2032)</f>
        <v>0</v>
      </c>
      <c r="K15" s="5">
        <f>SUMIFS(Schussbuch!$H$4:$H$200,Schussbuch!$F$4:$F$200,"Ente",Schussbuch!$A$4:$A$200,2033)</f>
        <v>0</v>
      </c>
      <c r="L15" s="5">
        <f>SUMIFS(Schussbuch!$H$4:$H$200,Schussbuch!$F$4:$F$200,"Ente",Schussbuch!$A$4:$A$200,2034)</f>
        <v>0</v>
      </c>
      <c r="M15" s="5">
        <f>SUMIFS(Schussbuch!$H$4:$H$200,Schussbuch!$F$4:$F$200,"Ente",Schussbuch!$A$4:$A$200,2035)</f>
        <v>0</v>
      </c>
      <c r="N15" s="5">
        <f>SUMIFS(Schussbuch!$H$4:$H$200,Schussbuch!$F$4:$F$200,"Ente",Schussbuch!$A$4:$A$200,2036)</f>
        <v>0</v>
      </c>
      <c r="O15" s="5">
        <f>SUMIFS(Schussbuch!$H$4:$H$200,Schussbuch!$F$4:$F$200,"Ente",Schussbuch!$A$4:$A$200,2037)</f>
        <v>0</v>
      </c>
      <c r="P15" s="5">
        <f>SUMIFS(Schussbuch!$H$4:$H$200,Schussbuch!$F$4:$F$200,"Ente",Schussbuch!$A$4:$A$200,2038)</f>
        <v>0</v>
      </c>
      <c r="Q15" s="5">
        <f>SUMIFS(Schussbuch!$H$4:$H$200,Schussbuch!$F$4:$F$200,"Ente",Schussbuch!$A$4:$A$200,2039)</f>
        <v>0</v>
      </c>
      <c r="R15" s="5">
        <f>SUMIFS(Schussbuch!$H$4:$H$200,Schussbuch!$F$4:$F$200,"Ente",Schussbuch!$A$4:$A$200,2040)</f>
        <v>0</v>
      </c>
      <c r="S15" s="5">
        <f>SUMIFS(Schussbuch!$H$4:$H$200,Schussbuch!$F$4:$F$200,"Ente",Schussbuch!$A$4:$A$200,2041)</f>
        <v>0</v>
      </c>
      <c r="T15" s="5">
        <f>SUMIFS(Schussbuch!$H$4:$H$200,Schussbuch!$F$4:$F$200,"Ente",Schussbuch!$A$4:$A$200,2042)</f>
        <v>0</v>
      </c>
      <c r="U15" s="5">
        <f>SUMIFS(Schussbuch!$H$4:$H$200,Schussbuch!$F$4:$F$200,"Ente",Schussbuch!$A$4:$A$200,2043)</f>
        <v>0</v>
      </c>
      <c r="V15" s="5">
        <f>SUMIFS(Schussbuch!$H$4:$H$200,Schussbuch!$F$4:$F$200,"Ente",Schussbuch!$A$4:$A$200,2044)</f>
        <v>0</v>
      </c>
      <c r="W15" s="5">
        <f>SUMIFS(Schussbuch!$H$4:$H$200,Schussbuch!$F$4:$F$200,"Ente",Schussbuch!$A$4:$A$200,2045)</f>
        <v>0</v>
      </c>
      <c r="X15" s="5">
        <f>SUMIFS(Schussbuch!$H$4:$H$200,Schussbuch!$F$4:$F$200,"Ente",Schussbuch!$A$4:$A$200,2046)</f>
        <v>0</v>
      </c>
      <c r="Y15" s="5">
        <f>SUMIFS(Schussbuch!$H$4:$H$200,Schussbuch!$F$4:$F$200,"Ente",Schussbuch!$A$4:$A$200,2047)</f>
        <v>0</v>
      </c>
      <c r="Z15" s="5">
        <f>SUMIFS(Schussbuch!$H$4:$H$200,Schussbuch!$F$4:$F$200,"Ente",Schussbuch!$A$4:$A$200,2048)</f>
        <v>0</v>
      </c>
      <c r="AA15" s="5">
        <f>SUMIFS(Schussbuch!$H$4:$H$200,Schussbuch!$F$4:$F$200,"Ente",Schussbuch!$A$4:$A$200,2049)</f>
        <v>0</v>
      </c>
      <c r="AB15" s="8">
        <f t="shared" si="0"/>
        <v>0</v>
      </c>
    </row>
    <row r="16" spans="1:28" ht="15" customHeight="1" x14ac:dyDescent="0.2">
      <c r="A16" s="65" t="s">
        <v>26</v>
      </c>
      <c r="B16" s="5">
        <f>SUMIFS(Schussbuch!$H$4:$H$200,Schussbuch!$F$4:$F$200,"Schnepfe",Schussbuch!$A$4:$A$200,2024)</f>
        <v>0</v>
      </c>
      <c r="C16" s="5">
        <f>SUMIFS(Schussbuch!$H$4:$H$200,Schussbuch!$F$4:$F$200,"Schnepfe",Schussbuch!$A$4:$A$200,2025)</f>
        <v>0</v>
      </c>
      <c r="D16" s="5">
        <f>SUMIFS(Schussbuch!$H$4:$H$200,Schussbuch!$F$4:$F$200,"Schnepfe",Schussbuch!$A$4:$A$200,2026)</f>
        <v>0</v>
      </c>
      <c r="E16" s="5">
        <f>SUMIFS(Schussbuch!$H$4:$H$200,Schussbuch!$F$4:$F$200,"Schnepfe",Schussbuch!$A$4:$A$200,2027)</f>
        <v>0</v>
      </c>
      <c r="F16" s="5">
        <f>SUMIFS(Schussbuch!$H$4:$H$200,Schussbuch!$F$4:$F$200,"Schnepfe",Schussbuch!$A$4:$A$200,2028)</f>
        <v>0</v>
      </c>
      <c r="G16" s="5">
        <f>SUMIFS(Schussbuch!$H$4:$H$200,Schussbuch!$F$4:$F$200,"Schnepfe",Schussbuch!$A$4:$A$200,2029)</f>
        <v>0</v>
      </c>
      <c r="H16" s="5">
        <f>SUMIFS(Schussbuch!$H$4:$H$200,Schussbuch!$F$4:$F$200,"Schnepfe",Schussbuch!$A$4:$A$200,2030)</f>
        <v>0</v>
      </c>
      <c r="I16" s="5">
        <f>SUMIFS(Schussbuch!$H$4:$H$200,Schussbuch!$F$4:$F$200,"Schnepfe",Schussbuch!$A$4:$A$200,2031)</f>
        <v>0</v>
      </c>
      <c r="J16" s="5">
        <f>SUMIFS(Schussbuch!$H$4:$H$200,Schussbuch!$F$4:$F$200,"Schnepfe",Schussbuch!$A$4:$A$200,2032)</f>
        <v>0</v>
      </c>
      <c r="K16" s="5">
        <f>SUMIFS(Schussbuch!$H$4:$H$200,Schussbuch!$F$4:$F$200,"Schnepfe",Schussbuch!$A$4:$A$200,2033)</f>
        <v>0</v>
      </c>
      <c r="L16" s="5">
        <f>SUMIFS(Schussbuch!$H$4:$H$200,Schussbuch!$F$4:$F$200,"Schnepfe",Schussbuch!$A$4:$A$200,2034)</f>
        <v>0</v>
      </c>
      <c r="M16" s="5">
        <f>SUMIFS(Schussbuch!$H$4:$H$200,Schussbuch!$F$4:$F$200,"Schnepfe",Schussbuch!$A$4:$A$200,2035)</f>
        <v>0</v>
      </c>
      <c r="N16" s="5">
        <f>SUMIFS(Schussbuch!$H$4:$H$200,Schussbuch!$F$4:$F$200,"Schnepfe",Schussbuch!$A$4:$A$200,2036)</f>
        <v>0</v>
      </c>
      <c r="O16" s="5">
        <f>SUMIFS(Schussbuch!$H$4:$H$200,Schussbuch!$F$4:$F$200,"Schnepfe",Schussbuch!$A$4:$A$200,2037)</f>
        <v>0</v>
      </c>
      <c r="P16" s="5">
        <f>SUMIFS(Schussbuch!$H$4:$H$200,Schussbuch!$F$4:$F$200,"Schnepfe",Schussbuch!$A$4:$A$200,2038)</f>
        <v>0</v>
      </c>
      <c r="Q16" s="5">
        <f>SUMIFS(Schussbuch!$H$4:$H$200,Schussbuch!$F$4:$F$200,"Schnepfe",Schussbuch!$A$4:$A$200,2039)</f>
        <v>0</v>
      </c>
      <c r="R16" s="5">
        <f>SUMIFS(Schussbuch!$H$4:$H$200,Schussbuch!$F$4:$F$200,"Schnepfe",Schussbuch!$A$4:$A$200,2040)</f>
        <v>0</v>
      </c>
      <c r="S16" s="5">
        <f>SUMIFS(Schussbuch!$H$4:$H$200,Schussbuch!$F$4:$F$200,"Schnepfe",Schussbuch!$A$4:$A$200,2041)</f>
        <v>0</v>
      </c>
      <c r="T16" s="5">
        <f>SUMIFS(Schussbuch!$H$4:$H$200,Schussbuch!$F$4:$F$200,"Schnepfe",Schussbuch!$A$4:$A$200,2042)</f>
        <v>0</v>
      </c>
      <c r="U16" s="5">
        <f>SUMIFS(Schussbuch!$H$4:$H$200,Schussbuch!$F$4:$F$200,"Schnepfe",Schussbuch!$A$4:$A$200,2043)</f>
        <v>0</v>
      </c>
      <c r="V16" s="5">
        <f>SUMIFS(Schussbuch!$H$4:$H$200,Schussbuch!$F$4:$F$200,"Schnepfe",Schussbuch!$A$4:$A$200,2044)</f>
        <v>0</v>
      </c>
      <c r="W16" s="5">
        <f>SUMIFS(Schussbuch!$H$4:$H$200,Schussbuch!$F$4:$F$200,"Schnepfe",Schussbuch!$A$4:$A$200,2045)</f>
        <v>0</v>
      </c>
      <c r="X16" s="5">
        <f>SUMIFS(Schussbuch!$H$4:$H$200,Schussbuch!$F$4:$F$200,"Schnepfe",Schussbuch!$A$4:$A$200,2046)</f>
        <v>0</v>
      </c>
      <c r="Y16" s="5">
        <f>SUMIFS(Schussbuch!$H$4:$H$200,Schussbuch!$F$4:$F$200,"Schnepfe",Schussbuch!$A$4:$A$200,2047)</f>
        <v>0</v>
      </c>
      <c r="Z16" s="5">
        <f>SUMIFS(Schussbuch!$H$4:$H$200,Schussbuch!$F$4:$F$200,"Schnepfe",Schussbuch!$A$4:$A$200,2048)</f>
        <v>0</v>
      </c>
      <c r="AA16" s="5">
        <f>SUMIFS(Schussbuch!$H$4:$H$200,Schussbuch!$F$4:$F$200,"Schnepfe",Schussbuch!$A$4:$A$200,2049)</f>
        <v>0</v>
      </c>
      <c r="AB16" s="8">
        <f t="shared" si="0"/>
        <v>0</v>
      </c>
    </row>
    <row r="17" spans="1:28" ht="15" customHeight="1" x14ac:dyDescent="0.2">
      <c r="A17" s="65" t="s">
        <v>27</v>
      </c>
      <c r="B17" s="5">
        <f>SUMIFS(Schussbuch!$H$4:$H$200,Schussbuch!$F$4:$F$200,"Ringeltaube",Schussbuch!$A$4:$A$200,2024)</f>
        <v>0</v>
      </c>
      <c r="C17" s="5">
        <f>SUMIFS(Schussbuch!$H$4:$H$200,Schussbuch!$F$4:$F$200,"Ringeltaube",Schussbuch!$A$4:$A$200,2025)</f>
        <v>0</v>
      </c>
      <c r="D17" s="5">
        <f>SUMIFS(Schussbuch!$H$4:$H$200,Schussbuch!$F$4:$F$200,"Ringeltaube",Schussbuch!$A$4:$A$200,2026)</f>
        <v>0</v>
      </c>
      <c r="E17" s="5">
        <f>SUMIFS(Schussbuch!$H$4:$H$200,Schussbuch!$F$4:$F$200,"Ringeltaube",Schussbuch!$A$4:$A$200,2027)</f>
        <v>0</v>
      </c>
      <c r="F17" s="5">
        <f>SUMIFS(Schussbuch!$H$4:$H$200,Schussbuch!$F$4:$F$200,"Ringeltaube",Schussbuch!$A$4:$A$200,2028)</f>
        <v>0</v>
      </c>
      <c r="G17" s="5">
        <f>SUMIFS(Schussbuch!$H$4:$H$200,Schussbuch!$F$4:$F$200,"Ringeltaube",Schussbuch!$A$4:$A$200,2029)</f>
        <v>0</v>
      </c>
      <c r="H17" s="5">
        <f>SUMIFS(Schussbuch!$H$4:$H$200,Schussbuch!$F$4:$F$200,"Ringeltaube",Schussbuch!$A$4:$A$200,2030)</f>
        <v>0</v>
      </c>
      <c r="I17" s="5">
        <f>SUMIFS(Schussbuch!$H$4:$H$200,Schussbuch!$F$4:$F$200,"Ringeltaube",Schussbuch!$A$4:$A$200,2031)</f>
        <v>0</v>
      </c>
      <c r="J17" s="5">
        <f>SUMIFS(Schussbuch!$H$4:$H$200,Schussbuch!$F$4:$F$200,"Ringeltaube",Schussbuch!$A$4:$A$200,2032)</f>
        <v>0</v>
      </c>
      <c r="K17" s="5">
        <f>SUMIFS(Schussbuch!$H$4:$H$200,Schussbuch!$F$4:$F$200,"Ringeltaube",Schussbuch!$A$4:$A$200,2033)</f>
        <v>0</v>
      </c>
      <c r="L17" s="5">
        <f>SUMIFS(Schussbuch!$H$4:$H$200,Schussbuch!$F$4:$F$200,"Ringeltaube",Schussbuch!$A$4:$A$200,2034)</f>
        <v>0</v>
      </c>
      <c r="M17" s="5">
        <f>SUMIFS(Schussbuch!$H$4:$H$200,Schussbuch!$F$4:$F$200,"Ringeltaube",Schussbuch!$A$4:$A$200,2035)</f>
        <v>0</v>
      </c>
      <c r="N17" s="5">
        <f>SUMIFS(Schussbuch!$H$4:$H$200,Schussbuch!$F$4:$F$200,"Ringeltaube",Schussbuch!$A$4:$A$200,2036)</f>
        <v>0</v>
      </c>
      <c r="O17" s="5">
        <f>SUMIFS(Schussbuch!$H$4:$H$200,Schussbuch!$F$4:$F$200,"Ringeltaube",Schussbuch!$A$4:$A$200,2037)</f>
        <v>0</v>
      </c>
      <c r="P17" s="5">
        <f>SUMIFS(Schussbuch!$H$4:$H$200,Schussbuch!$F$4:$F$200,"Ringeltaube",Schussbuch!$A$4:$A$200,2038)</f>
        <v>0</v>
      </c>
      <c r="Q17" s="5">
        <f>SUMIFS(Schussbuch!$H$4:$H$200,Schussbuch!$F$4:$F$200,"Ringeltaube",Schussbuch!$A$4:$A$200,2039)</f>
        <v>0</v>
      </c>
      <c r="R17" s="5">
        <f>SUMIFS(Schussbuch!$H$4:$H$200,Schussbuch!$F$4:$F$200,"Ringeltaube",Schussbuch!$A$4:$A$200,2040)</f>
        <v>0</v>
      </c>
      <c r="S17" s="5">
        <f>SUMIFS(Schussbuch!$H$4:$H$200,Schussbuch!$F$4:$F$200,"Ringeltaube",Schussbuch!$A$4:$A$200,2041)</f>
        <v>0</v>
      </c>
      <c r="T17" s="5">
        <f>SUMIFS(Schussbuch!$H$4:$H$200,Schussbuch!$F$4:$F$200,"Ringeltaube",Schussbuch!$A$4:$A$200,2042)</f>
        <v>0</v>
      </c>
      <c r="U17" s="5">
        <f>SUMIFS(Schussbuch!$H$4:$H$200,Schussbuch!$F$4:$F$200,"Ringeltaube",Schussbuch!$A$4:$A$200,2043)</f>
        <v>0</v>
      </c>
      <c r="V17" s="5">
        <f>SUMIFS(Schussbuch!$H$4:$H$200,Schussbuch!$F$4:$F$200,"Ringeltaube",Schussbuch!$A$4:$A$200,2044)</f>
        <v>0</v>
      </c>
      <c r="W17" s="5">
        <f>SUMIFS(Schussbuch!$H$4:$H$200,Schussbuch!$F$4:$F$200,"Ringeltaube",Schussbuch!$A$4:$A$200,2045)</f>
        <v>0</v>
      </c>
      <c r="X17" s="5">
        <f>SUMIFS(Schussbuch!$H$4:$H$200,Schussbuch!$F$4:$F$200,"Ringeltaube",Schussbuch!$A$4:$A$200,2046)</f>
        <v>0</v>
      </c>
      <c r="Y17" s="5">
        <f>SUMIFS(Schussbuch!$H$4:$H$200,Schussbuch!$F$4:$F$200,"Ringeltaube",Schussbuch!$A$4:$A$200,2047)</f>
        <v>0</v>
      </c>
      <c r="Z17" s="5">
        <f>SUMIFS(Schussbuch!$H$4:$H$200,Schussbuch!$F$4:$F$200,"Ringeltaube",Schussbuch!$A$4:$A$200,2048)</f>
        <v>0</v>
      </c>
      <c r="AA17" s="5">
        <f>SUMIFS(Schussbuch!$H$4:$H$200,Schussbuch!$F$4:$F$200,"Ringeltaube",Schussbuch!$A$4:$A$200,2049)</f>
        <v>0</v>
      </c>
      <c r="AB17" s="8">
        <f t="shared" si="0"/>
        <v>0</v>
      </c>
    </row>
    <row r="18" spans="1:28" ht="15" customHeight="1" x14ac:dyDescent="0.2">
      <c r="A18" s="65" t="s">
        <v>16</v>
      </c>
      <c r="B18" s="5">
        <f>SUMIFS(Schussbuch!$H$4:$H$200,Schussbuch!$F$4:$F$200,"Eichelhäher",Schussbuch!$A$4:$A$200,2024)</f>
        <v>0</v>
      </c>
      <c r="C18" s="5">
        <f>SUMIFS(Schussbuch!$H$4:$H$200,Schussbuch!$F$4:$F$200,"Eichelhäher",Schussbuch!$A$4:$A$200,2025)</f>
        <v>0</v>
      </c>
      <c r="D18" s="5">
        <f>SUMIFS(Schussbuch!$H$4:$H$200,Schussbuch!$F$4:$F$200,"Eichelhäher",Schussbuch!$A$4:$A$200,2026)</f>
        <v>0</v>
      </c>
      <c r="E18" s="5">
        <f>SUMIFS(Schussbuch!$H$4:$H$200,Schussbuch!$F$4:$F$200,"Eichelhäher",Schussbuch!$A$4:$A$200,2027)</f>
        <v>0</v>
      </c>
      <c r="F18" s="5">
        <f>SUMIFS(Schussbuch!$H$4:$H$200,Schussbuch!$F$4:$F$200,"Eichelhäher",Schussbuch!$A$4:$A$200,2028)</f>
        <v>0</v>
      </c>
      <c r="G18" s="5">
        <f>SUMIFS(Schussbuch!$H$4:$H$200,Schussbuch!$F$4:$F$200,"Eichelhäher",Schussbuch!$A$4:$A$200,2029)</f>
        <v>0</v>
      </c>
      <c r="H18" s="5">
        <f>SUMIFS(Schussbuch!$H$4:$H$200,Schussbuch!$F$4:$F$200,"Eichelhäher",Schussbuch!$A$4:$A$200,2030)</f>
        <v>0</v>
      </c>
      <c r="I18" s="5">
        <f>SUMIFS(Schussbuch!$H$4:$H$200,Schussbuch!$F$4:$F$200,"Eichelhäher",Schussbuch!$A$4:$A$200,2031)</f>
        <v>0</v>
      </c>
      <c r="J18" s="5">
        <f>SUMIFS(Schussbuch!$H$4:$H$200,Schussbuch!$F$4:$F$200,"Eichelhäher",Schussbuch!$A$4:$A$200,2032)</f>
        <v>0</v>
      </c>
      <c r="K18" s="5">
        <f>SUMIFS(Schussbuch!$H$4:$H$200,Schussbuch!$F$4:$F$200,"Eichelhäher",Schussbuch!$A$4:$A$200,2033)</f>
        <v>0</v>
      </c>
      <c r="L18" s="5">
        <f>SUMIFS(Schussbuch!$H$4:$H$200,Schussbuch!$F$4:$F$200,"Eichelhäher",Schussbuch!$A$4:$A$200,2034)</f>
        <v>0</v>
      </c>
      <c r="M18" s="5">
        <f>SUMIFS(Schussbuch!$H$4:$H$200,Schussbuch!$F$4:$F$200,"Eichelhäher",Schussbuch!$A$4:$A$200,2035)</f>
        <v>0</v>
      </c>
      <c r="N18" s="5">
        <f>SUMIFS(Schussbuch!$H$4:$H$200,Schussbuch!$F$4:$F$200,"Eichelhäher",Schussbuch!$A$4:$A$200,2036)</f>
        <v>0</v>
      </c>
      <c r="O18" s="5">
        <f>SUMIFS(Schussbuch!$H$4:$H$200,Schussbuch!$F$4:$F$200,"Eichelhäher",Schussbuch!$A$4:$A$200,2037)</f>
        <v>0</v>
      </c>
      <c r="P18" s="5">
        <f>SUMIFS(Schussbuch!$H$4:$H$200,Schussbuch!$F$4:$F$200,"Eichelhäher",Schussbuch!$A$4:$A$200,2038)</f>
        <v>0</v>
      </c>
      <c r="Q18" s="5">
        <f>SUMIFS(Schussbuch!$H$4:$H$200,Schussbuch!$F$4:$F$200,"Eichelhäher",Schussbuch!$A$4:$A$200,2039)</f>
        <v>0</v>
      </c>
      <c r="R18" s="5">
        <f>SUMIFS(Schussbuch!$H$4:$H$200,Schussbuch!$F$4:$F$200,"Eichelhäher",Schussbuch!$A$4:$A$200,2040)</f>
        <v>0</v>
      </c>
      <c r="S18" s="5">
        <f>SUMIFS(Schussbuch!$H$4:$H$200,Schussbuch!$F$4:$F$200,"Eichelhäher",Schussbuch!$A$4:$A$200,2041)</f>
        <v>0</v>
      </c>
      <c r="T18" s="5">
        <f>SUMIFS(Schussbuch!$H$4:$H$200,Schussbuch!$F$4:$F$200,"Eichelhäher",Schussbuch!$A$4:$A$200,2042)</f>
        <v>0</v>
      </c>
      <c r="U18" s="5">
        <f>SUMIFS(Schussbuch!$H$4:$H$200,Schussbuch!$F$4:$F$200,"Eichelhäher",Schussbuch!$A$4:$A$200,2043)</f>
        <v>0</v>
      </c>
      <c r="V18" s="5">
        <f>SUMIFS(Schussbuch!$H$4:$H$200,Schussbuch!$F$4:$F$200,"Eichelhäher",Schussbuch!$A$4:$A$200,2044)</f>
        <v>0</v>
      </c>
      <c r="W18" s="5">
        <f>SUMIFS(Schussbuch!$H$4:$H$200,Schussbuch!$F$4:$F$200,"Eichelhäher",Schussbuch!$A$4:$A$200,2045)</f>
        <v>0</v>
      </c>
      <c r="X18" s="5">
        <f>SUMIFS(Schussbuch!$H$4:$H$200,Schussbuch!$F$4:$F$200,"Eichelhäher",Schussbuch!$A$4:$A$200,2046)</f>
        <v>0</v>
      </c>
      <c r="Y18" s="5">
        <f>SUMIFS(Schussbuch!$H$4:$H$200,Schussbuch!$F$4:$F$200,"Eichelhäher",Schussbuch!$A$4:$A$200,2047)</f>
        <v>0</v>
      </c>
      <c r="Z18" s="5">
        <f>SUMIFS(Schussbuch!$H$4:$H$200,Schussbuch!$F$4:$F$200,"Eichelhäher",Schussbuch!$A$4:$A$200,2048)</f>
        <v>0</v>
      </c>
      <c r="AA18" s="5">
        <f>SUMIFS(Schussbuch!$H$4:$H$200,Schussbuch!$F$4:$F$200,"Eichelhäher",Schussbuch!$A$4:$A$200,2049)</f>
        <v>0</v>
      </c>
      <c r="AB18" s="8">
        <f t="shared" si="0"/>
        <v>0</v>
      </c>
    </row>
    <row r="19" spans="1:28" ht="15" customHeight="1" x14ac:dyDescent="0.2">
      <c r="A19" s="65" t="s">
        <v>28</v>
      </c>
      <c r="B19" s="5">
        <f>SUMIFS(Schussbuch!$H$4:$H$200,Schussbuch!$F$4:$F$200,"Krähe",Schussbuch!$A$4:$A$200,2024)</f>
        <v>0</v>
      </c>
      <c r="C19" s="5">
        <f>SUMIFS(Schussbuch!$H$4:$H$200,Schussbuch!$F$4:$F$200,"Krähe",Schussbuch!$A$4:$A$200,2025)</f>
        <v>0</v>
      </c>
      <c r="D19" s="5">
        <f>SUMIFS(Schussbuch!$H$4:$H$200,Schussbuch!$F$4:$F$200,"Krähe",Schussbuch!$A$4:$A$200,2026)</f>
        <v>0</v>
      </c>
      <c r="E19" s="5">
        <f>SUMIFS(Schussbuch!$H$4:$H$200,Schussbuch!$F$4:$F$200,"Krähe",Schussbuch!$A$4:$A$200,2027)</f>
        <v>0</v>
      </c>
      <c r="F19" s="5">
        <f>SUMIFS(Schussbuch!$H$4:$H$200,Schussbuch!$F$4:$F$200,"Krähe",Schussbuch!$A$4:$A$200,2028)</f>
        <v>0</v>
      </c>
      <c r="G19" s="5">
        <f>SUMIFS(Schussbuch!$H$4:$H$200,Schussbuch!$F$4:$F$200,"Krähe",Schussbuch!$A$4:$A$200,2029)</f>
        <v>0</v>
      </c>
      <c r="H19" s="5">
        <f>SUMIFS(Schussbuch!$H$4:$H$200,Schussbuch!$F$4:$F$200,"Krähe",Schussbuch!$A$4:$A$200,2030)</f>
        <v>0</v>
      </c>
      <c r="I19" s="5">
        <f>SUMIFS(Schussbuch!$H$4:$H$200,Schussbuch!$F$4:$F$200,"Krähe",Schussbuch!$A$4:$A$200,2031)</f>
        <v>0</v>
      </c>
      <c r="J19" s="5">
        <f>SUMIFS(Schussbuch!$H$4:$H$200,Schussbuch!$F$4:$F$200,"Krähe",Schussbuch!$A$4:$A$200,2032)</f>
        <v>0</v>
      </c>
      <c r="K19" s="5">
        <f>SUMIFS(Schussbuch!$H$4:$H$200,Schussbuch!$F$4:$F$200,"Krähe",Schussbuch!$A$4:$A$200,2033)</f>
        <v>0</v>
      </c>
      <c r="L19" s="5">
        <f>SUMIFS(Schussbuch!$H$4:$H$200,Schussbuch!$F$4:$F$200,"Krähe",Schussbuch!$A$4:$A$200,2034)</f>
        <v>0</v>
      </c>
      <c r="M19" s="5">
        <f>SUMIFS(Schussbuch!$H$4:$H$200,Schussbuch!$F$4:$F$200,"Krähe",Schussbuch!$A$4:$A$200,2035)</f>
        <v>0</v>
      </c>
      <c r="N19" s="5">
        <f>SUMIFS(Schussbuch!$H$4:$H$200,Schussbuch!$F$4:$F$200,"Krähe",Schussbuch!$A$4:$A$200,2036)</f>
        <v>0</v>
      </c>
      <c r="O19" s="5">
        <f>SUMIFS(Schussbuch!$H$4:$H$200,Schussbuch!$F$4:$F$200,"Krähe",Schussbuch!$A$4:$A$200,2037)</f>
        <v>0</v>
      </c>
      <c r="P19" s="5">
        <f>SUMIFS(Schussbuch!$H$4:$H$200,Schussbuch!$F$4:$F$200,"Krähe",Schussbuch!$A$4:$A$200,2038)</f>
        <v>0</v>
      </c>
      <c r="Q19" s="5">
        <f>SUMIFS(Schussbuch!$H$4:$H$200,Schussbuch!$F$4:$F$200,"Krähe",Schussbuch!$A$4:$A$200,2039)</f>
        <v>0</v>
      </c>
      <c r="R19" s="5">
        <f>SUMIFS(Schussbuch!$H$4:$H$200,Schussbuch!$F$4:$F$200,"Krähe",Schussbuch!$A$4:$A$200,2040)</f>
        <v>0</v>
      </c>
      <c r="S19" s="5">
        <f>SUMIFS(Schussbuch!$H$4:$H$200,Schussbuch!$F$4:$F$200,"Krähe",Schussbuch!$A$4:$A$200,2041)</f>
        <v>0</v>
      </c>
      <c r="T19" s="5">
        <f>SUMIFS(Schussbuch!$H$4:$H$200,Schussbuch!$F$4:$F$200,"Krähe",Schussbuch!$A$4:$A$200,2042)</f>
        <v>0</v>
      </c>
      <c r="U19" s="5">
        <f>SUMIFS(Schussbuch!$H$4:$H$200,Schussbuch!$F$4:$F$200,"Krähe",Schussbuch!$A$4:$A$200,2043)</f>
        <v>0</v>
      </c>
      <c r="V19" s="5">
        <f>SUMIFS(Schussbuch!$H$4:$H$200,Schussbuch!$F$4:$F$200,"Krähe",Schussbuch!$A$4:$A$200,2044)</f>
        <v>0</v>
      </c>
      <c r="W19" s="5">
        <f>SUMIFS(Schussbuch!$H$4:$H$200,Schussbuch!$F$4:$F$200,"Krähe",Schussbuch!$A$4:$A$200,2045)</f>
        <v>0</v>
      </c>
      <c r="X19" s="5">
        <f>SUMIFS(Schussbuch!$H$4:$H$200,Schussbuch!$F$4:$F$200,"Krähe",Schussbuch!$A$4:$A$200,2046)</f>
        <v>0</v>
      </c>
      <c r="Y19" s="5">
        <f>SUMIFS(Schussbuch!$H$4:$H$200,Schussbuch!$F$4:$F$200,"Krähe",Schussbuch!$A$4:$A$200,2047)</f>
        <v>0</v>
      </c>
      <c r="Z19" s="5">
        <f>SUMIFS(Schussbuch!$H$4:$H$200,Schussbuch!$F$4:$F$200,"Krähe",Schussbuch!$A$4:$A$200,2048)</f>
        <v>0</v>
      </c>
      <c r="AA19" s="5">
        <f>SUMIFS(Schussbuch!$H$4:$H$200,Schussbuch!$F$4:$F$200,"Krähe",Schussbuch!$A$4:$A$200,2049)</f>
        <v>0</v>
      </c>
      <c r="AB19" s="8">
        <f t="shared" si="0"/>
        <v>0</v>
      </c>
    </row>
    <row r="20" spans="1:28" ht="15" customHeight="1" x14ac:dyDescent="0.2">
      <c r="A20" s="65" t="s">
        <v>29</v>
      </c>
      <c r="B20" s="5">
        <f>SUMIFS(Schussbuch!$H$4:$H$200,Schussbuch!$F$4:$F$200,"Elster",Schussbuch!$A$4:$A$200,2024)</f>
        <v>0</v>
      </c>
      <c r="C20" s="5">
        <f>SUMIFS(Schussbuch!$H$4:$H$200,Schussbuch!$F$4:$F$200,"Elster",Schussbuch!$A$4:$A$200,2025)</f>
        <v>0</v>
      </c>
      <c r="D20" s="5">
        <f>SUMIFS(Schussbuch!$H$4:$H$200,Schussbuch!$F$4:$F$200,"Elster",Schussbuch!$A$4:$A$200,2026)</f>
        <v>0</v>
      </c>
      <c r="E20" s="5">
        <f>SUMIFS(Schussbuch!$H$4:$H$200,Schussbuch!$F$4:$F$200,"Elster",Schussbuch!$A$4:$A$200,2027)</f>
        <v>0</v>
      </c>
      <c r="F20" s="5">
        <f>SUMIFS(Schussbuch!$H$4:$H$200,Schussbuch!$F$4:$F$200,"Elster",Schussbuch!$A$4:$A$200,2028)</f>
        <v>0</v>
      </c>
      <c r="G20" s="5">
        <f>SUMIFS(Schussbuch!$H$4:$H$200,Schussbuch!$F$4:$F$200,"Elster",Schussbuch!$A$4:$A$200,2029)</f>
        <v>0</v>
      </c>
      <c r="H20" s="5">
        <f>SUMIFS(Schussbuch!$H$4:$H$200,Schussbuch!$F$4:$F$200,"Elster",Schussbuch!$A$4:$A$200,2030)</f>
        <v>0</v>
      </c>
      <c r="I20" s="5">
        <f>SUMIFS(Schussbuch!$H$4:$H$200,Schussbuch!$F$4:$F$200,"Elster",Schussbuch!$A$4:$A$200,2031)</f>
        <v>0</v>
      </c>
      <c r="J20" s="5">
        <f>SUMIFS(Schussbuch!$H$4:$H$200,Schussbuch!$F$4:$F$200,"Elster",Schussbuch!$A$4:$A$200,2032)</f>
        <v>0</v>
      </c>
      <c r="K20" s="5">
        <f>SUMIFS(Schussbuch!$H$4:$H$200,Schussbuch!$F$4:$F$200,"Elster",Schussbuch!$A$4:$A$200,2033)</f>
        <v>0</v>
      </c>
      <c r="L20" s="5">
        <f>SUMIFS(Schussbuch!$H$4:$H$200,Schussbuch!$F$4:$F$200,"Elster",Schussbuch!$A$4:$A$200,2034)</f>
        <v>0</v>
      </c>
      <c r="M20" s="5">
        <f>SUMIFS(Schussbuch!$H$4:$H$200,Schussbuch!$F$4:$F$200,"Elster",Schussbuch!$A$4:$A$200,2035)</f>
        <v>0</v>
      </c>
      <c r="N20" s="5">
        <f>SUMIFS(Schussbuch!$H$4:$H$200,Schussbuch!$F$4:$F$200,"Elster",Schussbuch!$A$4:$A$200,2036)</f>
        <v>0</v>
      </c>
      <c r="O20" s="5">
        <f>SUMIFS(Schussbuch!$H$4:$H$200,Schussbuch!$F$4:$F$200,"Elster",Schussbuch!$A$4:$A$200,2037)</f>
        <v>0</v>
      </c>
      <c r="P20" s="5">
        <f>SUMIFS(Schussbuch!$H$4:$H$200,Schussbuch!$F$4:$F$200,"Elster",Schussbuch!$A$4:$A$200,2038)</f>
        <v>0</v>
      </c>
      <c r="Q20" s="5">
        <f>SUMIFS(Schussbuch!$H$4:$H$200,Schussbuch!$F$4:$F$200,"Elster",Schussbuch!$A$4:$A$200,2039)</f>
        <v>0</v>
      </c>
      <c r="R20" s="5">
        <f>SUMIFS(Schussbuch!$H$4:$H$200,Schussbuch!$F$4:$F$200,"Elster",Schussbuch!$A$4:$A$200,2040)</f>
        <v>0</v>
      </c>
      <c r="S20" s="5">
        <f>SUMIFS(Schussbuch!$H$4:$H$200,Schussbuch!$F$4:$F$200,"Elster",Schussbuch!$A$4:$A$200,2041)</f>
        <v>0</v>
      </c>
      <c r="T20" s="5">
        <f>SUMIFS(Schussbuch!$H$4:$H$200,Schussbuch!$F$4:$F$200,"Elster",Schussbuch!$A$4:$A$200,2042)</f>
        <v>0</v>
      </c>
      <c r="U20" s="5">
        <f>SUMIFS(Schussbuch!$H$4:$H$200,Schussbuch!$F$4:$F$200,"Elster",Schussbuch!$A$4:$A$200,2043)</f>
        <v>0</v>
      </c>
      <c r="V20" s="5">
        <f>SUMIFS(Schussbuch!$H$4:$H$200,Schussbuch!$F$4:$F$200,"Elster",Schussbuch!$A$4:$A$200,2044)</f>
        <v>0</v>
      </c>
      <c r="W20" s="5">
        <f>SUMIFS(Schussbuch!$H$4:$H$200,Schussbuch!$F$4:$F$200,"Elster",Schussbuch!$A$4:$A$200,2045)</f>
        <v>0</v>
      </c>
      <c r="X20" s="5">
        <f>SUMIFS(Schussbuch!$H$4:$H$200,Schussbuch!$F$4:$F$200,"Elster",Schussbuch!$A$4:$A$200,2046)</f>
        <v>0</v>
      </c>
      <c r="Y20" s="5">
        <f>SUMIFS(Schussbuch!$H$4:$H$200,Schussbuch!$F$4:$F$200,"Elster",Schussbuch!$A$4:$A$200,2047)</f>
        <v>0</v>
      </c>
      <c r="Z20" s="5">
        <f>SUMIFS(Schussbuch!$H$4:$H$200,Schussbuch!$F$4:$F$200,"Elster",Schussbuch!$A$4:$A$200,2048)</f>
        <v>0</v>
      </c>
      <c r="AA20" s="5">
        <f>SUMIFS(Schussbuch!$H$4:$H$200,Schussbuch!$F$4:$F$200,"Elster",Schussbuch!$A$4:$A$200,2049)</f>
        <v>0</v>
      </c>
      <c r="AB20" s="8">
        <f t="shared" si="0"/>
        <v>0</v>
      </c>
    </row>
    <row r="21" spans="1:28" ht="15" customHeight="1" x14ac:dyDescent="0.2">
      <c r="A21" s="65" t="s">
        <v>30</v>
      </c>
      <c r="B21" s="5">
        <f>SUMIFS(Schussbuch!$H$4:$H$200,Schussbuch!$F$4:$F$200,"Katze",Schussbuch!$A$4:$A$200,2024)</f>
        <v>0</v>
      </c>
      <c r="C21" s="5">
        <f>SUMIFS(Schussbuch!$H$4:$H$200,Schussbuch!$F$4:$F$200,"Katze",Schussbuch!$A$4:$A$200,2025)</f>
        <v>0</v>
      </c>
      <c r="D21" s="5">
        <f>SUMIFS(Schussbuch!$H$4:$H$200,Schussbuch!$F$4:$F$200,"Katze",Schussbuch!$A$4:$A$200,2026)</f>
        <v>0</v>
      </c>
      <c r="E21" s="5">
        <f>SUMIFS(Schussbuch!$H$4:$H$200,Schussbuch!$F$4:$F$200,"Katze",Schussbuch!$A$4:$A$200,2027)</f>
        <v>0</v>
      </c>
      <c r="F21" s="5">
        <f>SUMIFS(Schussbuch!$H$4:$H$200,Schussbuch!$F$4:$F$200,"Katze",Schussbuch!$A$4:$A$200,2028)</f>
        <v>0</v>
      </c>
      <c r="G21" s="5">
        <f>SUMIFS(Schussbuch!$H$4:$H$200,Schussbuch!$F$4:$F$200,"Katze",Schussbuch!$A$4:$A$200,2029)</f>
        <v>0</v>
      </c>
      <c r="H21" s="5">
        <f>SUMIFS(Schussbuch!$H$4:$H$200,Schussbuch!$F$4:$F$200,"Katze",Schussbuch!$A$4:$A$200,2030)</f>
        <v>0</v>
      </c>
      <c r="I21" s="5">
        <f>SUMIFS(Schussbuch!$H$4:$H$200,Schussbuch!$F$4:$F$200,"Katze",Schussbuch!$A$4:$A$200,2031)</f>
        <v>0</v>
      </c>
      <c r="J21" s="5">
        <f>SUMIFS(Schussbuch!$H$4:$H$200,Schussbuch!$F$4:$F$200,"Katze",Schussbuch!$A$4:$A$200,2032)</f>
        <v>0</v>
      </c>
      <c r="K21" s="5">
        <f>SUMIFS(Schussbuch!$H$4:$H$200,Schussbuch!$F$4:$F$200,"Katze",Schussbuch!$A$4:$A$200,2033)</f>
        <v>0</v>
      </c>
      <c r="L21" s="5">
        <f>SUMIFS(Schussbuch!$H$4:$H$200,Schussbuch!$F$4:$F$200,"Katze",Schussbuch!$A$4:$A$200,2034)</f>
        <v>0</v>
      </c>
      <c r="M21" s="5">
        <f>SUMIFS(Schussbuch!$H$4:$H$200,Schussbuch!$F$4:$F$200,"Katze",Schussbuch!$A$4:$A$200,2035)</f>
        <v>0</v>
      </c>
      <c r="N21" s="5">
        <f>SUMIFS(Schussbuch!$H$4:$H$200,Schussbuch!$F$4:$F$200,"Katze",Schussbuch!$A$4:$A$200,2036)</f>
        <v>0</v>
      </c>
      <c r="O21" s="5">
        <f>SUMIFS(Schussbuch!$H$4:$H$200,Schussbuch!$F$4:$F$200,"Katze",Schussbuch!$A$4:$A$200,2037)</f>
        <v>0</v>
      </c>
      <c r="P21" s="5">
        <f>SUMIFS(Schussbuch!$H$4:$H$200,Schussbuch!$F$4:$F$200,"Katze",Schussbuch!$A$4:$A$200,2038)</f>
        <v>0</v>
      </c>
      <c r="Q21" s="5">
        <f>SUMIFS(Schussbuch!$H$4:$H$200,Schussbuch!$F$4:$F$200,"Katze",Schussbuch!$A$4:$A$200,2039)</f>
        <v>0</v>
      </c>
      <c r="R21" s="5">
        <f>SUMIFS(Schussbuch!$H$4:$H$200,Schussbuch!$F$4:$F$200,"Katze",Schussbuch!$A$4:$A$200,2040)</f>
        <v>0</v>
      </c>
      <c r="S21" s="5">
        <f>SUMIFS(Schussbuch!$H$4:$H$200,Schussbuch!$F$4:$F$200,"Katze",Schussbuch!$A$4:$A$200,2041)</f>
        <v>0</v>
      </c>
      <c r="T21" s="5">
        <f>SUMIFS(Schussbuch!$H$4:$H$200,Schussbuch!$F$4:$F$200,"Katze",Schussbuch!$A$4:$A$200,2042)</f>
        <v>0</v>
      </c>
      <c r="U21" s="5">
        <f>SUMIFS(Schussbuch!$H$4:$H$200,Schussbuch!$F$4:$F$200,"Katze",Schussbuch!$A$4:$A$200,2043)</f>
        <v>0</v>
      </c>
      <c r="V21" s="5">
        <f>SUMIFS(Schussbuch!$H$4:$H$200,Schussbuch!$F$4:$F$200,"Katze",Schussbuch!$A$4:$A$200,2044)</f>
        <v>0</v>
      </c>
      <c r="W21" s="5">
        <f>SUMIFS(Schussbuch!$H$4:$H$200,Schussbuch!$F$4:$F$200,"Katze",Schussbuch!$A$4:$A$200,2045)</f>
        <v>0</v>
      </c>
      <c r="X21" s="5">
        <f>SUMIFS(Schussbuch!$H$4:$H$200,Schussbuch!$F$4:$F$200,"Katze",Schussbuch!$A$4:$A$200,2046)</f>
        <v>0</v>
      </c>
      <c r="Y21" s="5">
        <f>SUMIFS(Schussbuch!$H$4:$H$200,Schussbuch!$F$4:$F$200,"Katze",Schussbuch!$A$4:$A$200,2047)</f>
        <v>0</v>
      </c>
      <c r="Z21" s="5">
        <f>SUMIFS(Schussbuch!$H$4:$H$200,Schussbuch!$F$4:$F$200,"Katze",Schussbuch!$A$4:$A$200,2048)</f>
        <v>0</v>
      </c>
      <c r="AA21" s="5">
        <f>SUMIFS(Schussbuch!$H$4:$H$200,Schussbuch!$F$4:$F$200,"Katze",Schussbuch!$A$4:$A$200,2049)</f>
        <v>0</v>
      </c>
      <c r="AB21" s="8">
        <f t="shared" si="0"/>
        <v>0</v>
      </c>
    </row>
    <row r="22" spans="1:28" ht="15" customHeight="1" x14ac:dyDescent="0.2">
      <c r="A22" s="65" t="s">
        <v>31</v>
      </c>
      <c r="B22" s="5">
        <f>SUMIFS(Schussbuch!$H$4:$H$200,Schussbuch!$F$4:$F$200,"Hund",Schussbuch!$A$4:$A$200,2024)</f>
        <v>0</v>
      </c>
      <c r="C22" s="5">
        <f>SUMIFS(Schussbuch!$H$4:$H$200,Schussbuch!$F$4:$F$200,"Hund",Schussbuch!$A$4:$A$200,2025)</f>
        <v>0</v>
      </c>
      <c r="D22" s="5">
        <f>SUMIFS(Schussbuch!$H$4:$H$200,Schussbuch!$F$4:$F$200,"Hund",Schussbuch!$A$4:$A$200,2026)</f>
        <v>0</v>
      </c>
      <c r="E22" s="5">
        <f>SUMIFS(Schussbuch!$H$4:$H$200,Schussbuch!$F$4:$F$200,"Hund",Schussbuch!$A$4:$A$200,2027)</f>
        <v>0</v>
      </c>
      <c r="F22" s="5">
        <f>SUMIFS(Schussbuch!$H$4:$H$200,Schussbuch!$F$4:$F$200,"Hund",Schussbuch!$A$4:$A$200,2028)</f>
        <v>0</v>
      </c>
      <c r="G22" s="5">
        <f>SUMIFS(Schussbuch!$H$4:$H$200,Schussbuch!$F$4:$F$200,"Hund",Schussbuch!$A$4:$A$200,2029)</f>
        <v>0</v>
      </c>
      <c r="H22" s="5">
        <f>SUMIFS(Schussbuch!$H$4:$H$200,Schussbuch!$F$4:$F$200,"Hund",Schussbuch!$A$4:$A$200,2030)</f>
        <v>0</v>
      </c>
      <c r="I22" s="5">
        <f>SUMIFS(Schussbuch!$H$4:$H$200,Schussbuch!$F$4:$F$200,"Hund",Schussbuch!$A$4:$A$200,2031)</f>
        <v>0</v>
      </c>
      <c r="J22" s="5">
        <f>SUMIFS(Schussbuch!$H$4:$H$200,Schussbuch!$F$4:$F$200,"Hund",Schussbuch!$A$4:$A$200,2032)</f>
        <v>0</v>
      </c>
      <c r="K22" s="5">
        <f>SUMIFS(Schussbuch!$H$4:$H$200,Schussbuch!$F$4:$F$200,"Hund",Schussbuch!$A$4:$A$200,2033)</f>
        <v>0</v>
      </c>
      <c r="L22" s="5">
        <f>SUMIFS(Schussbuch!$H$4:$H$200,Schussbuch!$F$4:$F$200,"Hund",Schussbuch!$A$4:$A$200,2034)</f>
        <v>0</v>
      </c>
      <c r="M22" s="5">
        <f>SUMIFS(Schussbuch!$H$4:$H$200,Schussbuch!$F$4:$F$200,"Hund",Schussbuch!$A$4:$A$200,2035)</f>
        <v>0</v>
      </c>
      <c r="N22" s="5">
        <f>SUMIFS(Schussbuch!$H$4:$H$200,Schussbuch!$F$4:$F$200,"Hund",Schussbuch!$A$4:$A$200,2036)</f>
        <v>0</v>
      </c>
      <c r="O22" s="5">
        <f>SUMIFS(Schussbuch!$H$4:$H$200,Schussbuch!$F$4:$F$200,"Hund",Schussbuch!$A$4:$A$200,2037)</f>
        <v>0</v>
      </c>
      <c r="P22" s="5">
        <f>SUMIFS(Schussbuch!$H$4:$H$200,Schussbuch!$F$4:$F$200,"Hund",Schussbuch!$A$4:$A$200,2038)</f>
        <v>0</v>
      </c>
      <c r="Q22" s="5">
        <f>SUMIFS(Schussbuch!$H$4:$H$200,Schussbuch!$F$4:$F$200,"Hund",Schussbuch!$A$4:$A$200,2039)</f>
        <v>0</v>
      </c>
      <c r="R22" s="5">
        <f>SUMIFS(Schussbuch!$H$4:$H$200,Schussbuch!$F$4:$F$200,"Hund",Schussbuch!$A$4:$A$200,2040)</f>
        <v>0</v>
      </c>
      <c r="S22" s="5">
        <f>SUMIFS(Schussbuch!$H$4:$H$200,Schussbuch!$F$4:$F$200,"Hund",Schussbuch!$A$4:$A$200,2041)</f>
        <v>0</v>
      </c>
      <c r="T22" s="5">
        <f>SUMIFS(Schussbuch!$H$4:$H$200,Schussbuch!$F$4:$F$200,"Hund",Schussbuch!$A$4:$A$200,2042)</f>
        <v>0</v>
      </c>
      <c r="U22" s="5">
        <f>SUMIFS(Schussbuch!$H$4:$H$200,Schussbuch!$F$4:$F$200,"Hund",Schussbuch!$A$4:$A$200,2043)</f>
        <v>0</v>
      </c>
      <c r="V22" s="5">
        <f>SUMIFS(Schussbuch!$H$4:$H$200,Schussbuch!$F$4:$F$200,"Hund",Schussbuch!$A$4:$A$200,2044)</f>
        <v>0</v>
      </c>
      <c r="W22" s="5">
        <f>SUMIFS(Schussbuch!$H$4:$H$200,Schussbuch!$F$4:$F$200,"Hund",Schussbuch!$A$4:$A$200,2045)</f>
        <v>0</v>
      </c>
      <c r="X22" s="5">
        <f>SUMIFS(Schussbuch!$H$4:$H$200,Schussbuch!$F$4:$F$200,"Hund",Schussbuch!$A$4:$A$200,2046)</f>
        <v>0</v>
      </c>
      <c r="Y22" s="5">
        <f>SUMIFS(Schussbuch!$H$4:$H$200,Schussbuch!$F$4:$F$200,"Hund",Schussbuch!$A$4:$A$200,2047)</f>
        <v>0</v>
      </c>
      <c r="Z22" s="5">
        <f>SUMIFS(Schussbuch!$H$4:$H$200,Schussbuch!$F$4:$F$200,"Hund",Schussbuch!$A$4:$A$200,2048)</f>
        <v>0</v>
      </c>
      <c r="AA22" s="5">
        <f>SUMIFS(Schussbuch!$H$4:$H$200,Schussbuch!$F$4:$F$200,"Hund",Schussbuch!$A$4:$A$200,2049)</f>
        <v>0</v>
      </c>
      <c r="AB22" s="8">
        <f t="shared" si="0"/>
        <v>0</v>
      </c>
    </row>
    <row r="23" spans="1:28" ht="15" customHeight="1" thickBot="1" x14ac:dyDescent="0.25">
      <c r="A23" s="58"/>
      <c r="B23" s="5">
        <f>SUMIFS(Schussbuch!$H$4:$H$200,Schussbuch!$F$4:$F$200,"Rotwild",Schussbuch!$A$4:$A$200,2024)</f>
        <v>0</v>
      </c>
      <c r="C23" s="5">
        <f>SUMIFS(Schussbuch!$H$4:$H$200,Schussbuch!$F$4:$F$200,"Rotwild",Schussbuch!$A$4:$A$200,2025)</f>
        <v>0</v>
      </c>
      <c r="D23" s="5">
        <f>SUMIFS(Schussbuch!$H$4:$H$200,Schussbuch!$F$4:$F$200,"Rotwild",Schussbuch!$A$4:$A$200,2026)</f>
        <v>0</v>
      </c>
      <c r="E23" s="5">
        <f>SUMIFS(Schussbuch!$H$4:$H$200,Schussbuch!$F$4:$F$200,"Rotwild",Schussbuch!$A$4:$A$200,2027)</f>
        <v>0</v>
      </c>
      <c r="F23" s="5">
        <f>SUMIFS(Schussbuch!$H$4:$H$200,Schussbuch!$F$4:$F$200,"Rotwild",Schussbuch!$A$4:$A$200,2028)</f>
        <v>0</v>
      </c>
      <c r="G23" s="5">
        <f>SUMIFS(Schussbuch!$H$4:$H$200,Schussbuch!$F$4:$F$200,"Rotwild",Schussbuch!$A$4:$A$200,2029)</f>
        <v>0</v>
      </c>
      <c r="H23" s="5">
        <f>SUMIFS(Schussbuch!$H$4:$H$200,Schussbuch!$F$4:$F$200,"Rotwild",Schussbuch!$A$4:$A$200,2030)</f>
        <v>0</v>
      </c>
      <c r="I23" s="5">
        <f>SUMIFS(Schussbuch!$H$4:$H$200,Schussbuch!$F$4:$F$200,"Rotwild",Schussbuch!$A$4:$A$200,2031)</f>
        <v>0</v>
      </c>
      <c r="J23" s="5">
        <f>SUMIFS(Schussbuch!$H$4:$H$200,Schussbuch!$F$4:$F$200,"Rotwild",Schussbuch!$A$4:$A$200,2032)</f>
        <v>0</v>
      </c>
      <c r="K23" s="5">
        <f>SUMIFS(Schussbuch!$H$4:$H$200,Schussbuch!$F$4:$F$200,"Rotwild",Schussbuch!$A$4:$A$200,2033)</f>
        <v>0</v>
      </c>
      <c r="L23" s="5">
        <f>SUMIFS(Schussbuch!$H$4:$H$200,Schussbuch!$F$4:$F$200,"Rotwild",Schussbuch!$A$4:$A$200,2034)</f>
        <v>0</v>
      </c>
      <c r="M23" s="5">
        <f>SUMIFS(Schussbuch!$H$4:$H$200,Schussbuch!$F$4:$F$200,"Rotwild",Schussbuch!$A$4:$A$200,2035)</f>
        <v>0</v>
      </c>
      <c r="N23" s="5">
        <f>SUMIFS(Schussbuch!$H$4:$H$200,Schussbuch!$F$4:$F$200,"Rotwild",Schussbuch!$A$4:$A$200,2036)</f>
        <v>0</v>
      </c>
      <c r="O23" s="5">
        <f>SUMIFS(Schussbuch!$H$4:$H$200,Schussbuch!$F$4:$F$200,"Rotwild",Schussbuch!$A$4:$A$200,2037)</f>
        <v>0</v>
      </c>
      <c r="P23" s="5">
        <f>SUMIFS(Schussbuch!$H$4:$H$200,Schussbuch!$F$4:$F$200,"Rotwild",Schussbuch!$A$4:$A$200,2038)</f>
        <v>0</v>
      </c>
      <c r="Q23" s="5">
        <f>SUMIFS(Schussbuch!$H$4:$H$200,Schussbuch!$F$4:$F$200,"Rotwild",Schussbuch!$A$4:$A$200,2039)</f>
        <v>0</v>
      </c>
      <c r="R23" s="5">
        <f>SUMIFS(Schussbuch!$H$4:$H$200,Schussbuch!$F$4:$F$200,"Rotwild",Schussbuch!$A$4:$A$200,2040)</f>
        <v>0</v>
      </c>
      <c r="S23" s="5">
        <f>SUMIFS(Schussbuch!$H$4:$H$200,Schussbuch!$F$4:$F$200,"Rotwild",Schussbuch!$A$4:$A$200,2041)</f>
        <v>0</v>
      </c>
      <c r="T23" s="5">
        <f>SUMIFS(Schussbuch!$H$4:$H$200,Schussbuch!$F$4:$F$200,"Rotwild",Schussbuch!$A$4:$A$200,2042)</f>
        <v>0</v>
      </c>
      <c r="U23" s="5">
        <f>SUMIFS(Schussbuch!$H$4:$H$200,Schussbuch!$F$4:$F$200,"Rotwild",Schussbuch!$A$4:$A$200,2043)</f>
        <v>0</v>
      </c>
      <c r="V23" s="5">
        <f>SUMIFS(Schussbuch!$H$4:$H$200,Schussbuch!$F$4:$F$200,"Rotwild",Schussbuch!$A$4:$A$200,2044)</f>
        <v>0</v>
      </c>
      <c r="W23" s="5">
        <f>SUMIFS(Schussbuch!$H$4:$H$200,Schussbuch!$F$4:$F$200,"Rotwild",Schussbuch!$A$4:$A$200,2045)</f>
        <v>0</v>
      </c>
      <c r="X23" s="5">
        <f>SUMIFS(Schussbuch!$H$4:$H$200,Schussbuch!$F$4:$F$200,"Rotwild",Schussbuch!$A$4:$A$200,2046)</f>
        <v>0</v>
      </c>
      <c r="Y23" s="5">
        <f>SUMIFS(Schussbuch!$H$4:$H$200,Schussbuch!$F$4:$F$200,"Rotwild",Schussbuch!$A$4:$A$200,2047)</f>
        <v>0</v>
      </c>
      <c r="Z23" s="5">
        <f>SUMIFS(Schussbuch!$H$4:$H$200,Schussbuch!$F$4:$F$200,"Rotwild",Schussbuch!$A$4:$A$200,2048)</f>
        <v>0</v>
      </c>
      <c r="AA23" s="5">
        <f>SUMIFS(Schussbuch!$H$4:$H$200,Schussbuch!$F$4:$F$200,"Rotwild",Schussbuch!$A$4:$A$200,2049)</f>
        <v>0</v>
      </c>
      <c r="AB23" s="8">
        <f t="shared" si="0"/>
        <v>0</v>
      </c>
    </row>
    <row r="24" spans="1:28" ht="18.75" customHeight="1" thickBot="1" x14ac:dyDescent="0.3">
      <c r="A24" s="61" t="s">
        <v>17</v>
      </c>
      <c r="B24" s="9">
        <f t="shared" ref="B24:G24" si="1">SUM(B3:B23)</f>
        <v>3</v>
      </c>
      <c r="C24" s="9">
        <f t="shared" si="1"/>
        <v>0</v>
      </c>
      <c r="D24" s="9">
        <f t="shared" si="1"/>
        <v>0</v>
      </c>
      <c r="E24" s="9">
        <f t="shared" si="1"/>
        <v>0</v>
      </c>
      <c r="F24" s="9">
        <f t="shared" si="1"/>
        <v>0</v>
      </c>
      <c r="G24" s="9">
        <f t="shared" si="1"/>
        <v>0</v>
      </c>
      <c r="H24" s="9">
        <f t="shared" ref="H24:AA24" si="2">SUM(H3:H23)</f>
        <v>0</v>
      </c>
      <c r="I24" s="9">
        <f t="shared" si="2"/>
        <v>0</v>
      </c>
      <c r="J24" s="9">
        <f t="shared" si="2"/>
        <v>0</v>
      </c>
      <c r="K24" s="9">
        <f t="shared" si="2"/>
        <v>0</v>
      </c>
      <c r="L24" s="9">
        <f t="shared" si="2"/>
        <v>0</v>
      </c>
      <c r="M24" s="9">
        <f t="shared" si="2"/>
        <v>0</v>
      </c>
      <c r="N24" s="9">
        <f t="shared" si="2"/>
        <v>0</v>
      </c>
      <c r="O24" s="9">
        <f t="shared" si="2"/>
        <v>0</v>
      </c>
      <c r="P24" s="9">
        <f t="shared" si="2"/>
        <v>0</v>
      </c>
      <c r="Q24" s="9">
        <f t="shared" si="2"/>
        <v>0</v>
      </c>
      <c r="R24" s="9">
        <f t="shared" si="2"/>
        <v>0</v>
      </c>
      <c r="S24" s="9">
        <f t="shared" si="2"/>
        <v>0</v>
      </c>
      <c r="T24" s="9">
        <f t="shared" si="2"/>
        <v>0</v>
      </c>
      <c r="U24" s="9">
        <f t="shared" si="2"/>
        <v>0</v>
      </c>
      <c r="V24" s="9">
        <f t="shared" si="2"/>
        <v>0</v>
      </c>
      <c r="W24" s="9">
        <f t="shared" si="2"/>
        <v>0</v>
      </c>
      <c r="X24" s="9">
        <f t="shared" si="2"/>
        <v>0</v>
      </c>
      <c r="Y24" s="9">
        <f t="shared" si="2"/>
        <v>0</v>
      </c>
      <c r="Z24" s="9">
        <f t="shared" si="2"/>
        <v>0</v>
      </c>
      <c r="AA24" s="9">
        <f t="shared" si="2"/>
        <v>0</v>
      </c>
      <c r="AB24" s="63">
        <f>SUM(AB3:AB23)</f>
        <v>3</v>
      </c>
    </row>
  </sheetData>
  <dataConsolidate/>
  <phoneticPr fontId="0" type="noConversion"/>
  <printOptions gridLinesSet="0"/>
  <pageMargins left="0.78740157499999996" right="0.78740157499999996" top="0.984251969" bottom="0.984251969" header="0.51181102300000003" footer="0.51181102300000003"/>
  <pageSetup paperSize="9" orientation="portrait" horizontalDpi="0" verticalDpi="180" r:id="rId1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37424-0A3B-4226-80DA-F4A87E7B6E45}">
  <dimension ref="A1:V32"/>
  <sheetViews>
    <sheetView workbookViewId="0">
      <pane ySplit="2" topLeftCell="A3" activePane="bottomLeft" state="frozen"/>
      <selection pane="bottomLeft" activeCell="J38" sqref="J38"/>
    </sheetView>
  </sheetViews>
  <sheetFormatPr baseColWidth="10" defaultRowHeight="12.75" x14ac:dyDescent="0.2"/>
  <cols>
    <col min="1" max="1" width="12.7109375" customWidth="1"/>
    <col min="2" max="2" width="9.28515625" customWidth="1"/>
    <col min="3" max="3" width="13.28515625" customWidth="1"/>
    <col min="4" max="4" width="10.5703125" customWidth="1"/>
    <col min="5" max="5" width="11.140625" customWidth="1"/>
    <col min="6" max="6" width="10.140625" customWidth="1"/>
    <col min="7" max="7" width="11.5703125" customWidth="1"/>
    <col min="8" max="8" width="7.5703125" customWidth="1"/>
    <col min="9" max="10" width="8.42578125" customWidth="1"/>
    <col min="11" max="11" width="9.5703125" customWidth="1"/>
    <col min="12" max="12" width="8.5703125" customWidth="1"/>
    <col min="13" max="13" width="7.7109375" customWidth="1"/>
    <col min="14" max="14" width="7.140625" customWidth="1"/>
    <col min="15" max="15" width="11.7109375" customWidth="1"/>
    <col min="16" max="16" width="12.42578125" customWidth="1"/>
    <col min="17" max="17" width="12.85546875" customWidth="1"/>
    <col min="18" max="18" width="8.5703125" customWidth="1"/>
    <col min="19" max="19" width="8.140625" customWidth="1"/>
    <col min="20" max="20" width="8.28515625" customWidth="1"/>
    <col min="21" max="21" width="7.85546875" customWidth="1"/>
  </cols>
  <sheetData>
    <row r="1" spans="1:22" ht="23.25" x14ac:dyDescent="0.35">
      <c r="A1" s="75" t="s">
        <v>91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</row>
    <row r="2" spans="1:22" ht="15.75" x14ac:dyDescent="0.25">
      <c r="A2" s="69" t="s">
        <v>41</v>
      </c>
      <c r="B2" s="70" t="s">
        <v>10</v>
      </c>
      <c r="C2" s="70" t="s">
        <v>11</v>
      </c>
      <c r="D2" s="70" t="s">
        <v>12</v>
      </c>
      <c r="E2" s="70" t="s">
        <v>13</v>
      </c>
      <c r="F2" s="70" t="s">
        <v>14</v>
      </c>
      <c r="G2" s="70" t="s">
        <v>15</v>
      </c>
      <c r="H2" s="70" t="s">
        <v>19</v>
      </c>
      <c r="I2" s="70" t="s">
        <v>20</v>
      </c>
      <c r="J2" s="70" t="s">
        <v>21</v>
      </c>
      <c r="K2" s="70" t="s">
        <v>22</v>
      </c>
      <c r="L2" s="70" t="s">
        <v>23</v>
      </c>
      <c r="M2" s="70" t="s">
        <v>25</v>
      </c>
      <c r="N2" s="70" t="s">
        <v>24</v>
      </c>
      <c r="O2" s="70" t="s">
        <v>26</v>
      </c>
      <c r="P2" s="70" t="s">
        <v>27</v>
      </c>
      <c r="Q2" s="70" t="s">
        <v>16</v>
      </c>
      <c r="R2" s="70" t="s">
        <v>28</v>
      </c>
      <c r="S2" s="70" t="s">
        <v>29</v>
      </c>
      <c r="T2" s="70" t="s">
        <v>30</v>
      </c>
      <c r="U2" s="70" t="s">
        <v>31</v>
      </c>
      <c r="V2" s="77" t="s">
        <v>125</v>
      </c>
    </row>
    <row r="3" spans="1:22" x14ac:dyDescent="0.2">
      <c r="A3" s="73" t="s">
        <v>119</v>
      </c>
      <c r="B3" s="71">
        <f>SUMIFS(Schussbuch!$H$3:$H$200,Schussbuch!$A$3:$A$200,2024,Schussbuch!$F$3:$F$200,"Rotwild")</f>
        <v>0</v>
      </c>
      <c r="C3" s="71">
        <f>SUMIFS(Schussbuch!$H$3:$H$200,Schussbuch!$A$3:$A$200,2024,Schussbuch!$F$3:$F$200,"Schwarzwild")</f>
        <v>0</v>
      </c>
      <c r="D3" s="71">
        <f>SUMIFS(Schussbuch!$H$3:$H$200,Schussbuch!$A$3:$A$200,2024,Schussbuch!$F$3:$F$200,"Rehwild")</f>
        <v>3</v>
      </c>
      <c r="E3" s="71">
        <f>SUMIFS(Schussbuch!$H$3:$H$200,Schussbuch!$A$3:$A$200,2024,Schussbuch!$F$3:$F$200,"Gamswild")</f>
        <v>0</v>
      </c>
      <c r="F3" s="71">
        <f>SUMIFS(Schussbuch!$H$3:$H$200,Schussbuch!$A$3:$A$200,2024,Schussbuch!$F$3:$F$200,"Damwild")</f>
        <v>0</v>
      </c>
      <c r="G3" s="71">
        <f>SUMIFS(Schussbuch!$H$3:$H$200,Schussbuch!$A$3:$A$200,2024,Schussbuch!$F$3:$F$200,"Muffelwild")</f>
        <v>0</v>
      </c>
      <c r="H3" s="71">
        <f>SUMIFS(Schussbuch!$H$3:$H$200,Schussbuch!$A$3:$A$200,2024,Schussbuch!$F$3:$F$200,"Hase")</f>
        <v>0</v>
      </c>
      <c r="I3" s="71">
        <f>SUMIFS(Schussbuch!$H$3:$H$200,Schussbuch!$A$3:$A$200,2024,Schussbuch!$F$3:$F$200,"Kanin")</f>
        <v>0</v>
      </c>
      <c r="J3" s="71">
        <f>SUMIFS(Schussbuch!$H$3:$H$200,Schussbuch!$A$3:$A$200,2024,Schussbuch!$F$3:$F$200,"Fuchs")</f>
        <v>0</v>
      </c>
      <c r="K3" s="71">
        <f>SUMIFS(Schussbuch!$H$3:$H$200,Schussbuch!$A$3:$A$200,2024,Schussbuch!$F$3:$F$200,"Marder")</f>
        <v>0</v>
      </c>
      <c r="L3" s="71">
        <f>SUMIFS(Schussbuch!$H$3:$H$200,Schussbuch!$A$3:$A$200,2024,Schussbuch!$F$3:$F$200,"Fasan")</f>
        <v>0</v>
      </c>
      <c r="M3" s="71">
        <f>SUMIFS(Schussbuch!$H$3:$H$200,Schussbuch!$A$3:$A$200,2024,Schussbuch!$F$3:$F$200,"Gans")</f>
        <v>0</v>
      </c>
      <c r="N3" s="71">
        <f>SUMIFS(Schussbuch!$H$3:$H$200,Schussbuch!$A$3:$A$200,2024,Schussbuch!$F$3:$F$200,"Ente")</f>
        <v>0</v>
      </c>
      <c r="O3" s="71">
        <f>SUMIFS(Schussbuch!$H$3:$H$200,Schussbuch!$A$3:$A$200,2024,Schussbuch!$F$3:$F$200,"Schnepfe")</f>
        <v>0</v>
      </c>
      <c r="P3" s="71">
        <f>SUMIFS(Schussbuch!$H$3:$H$200,Schussbuch!$A$3:$A$200,2024,Schussbuch!$F$3:$F$200,"Ringeltaube")</f>
        <v>0</v>
      </c>
      <c r="Q3" s="71">
        <f>SUMIFS(Schussbuch!$H$3:$H$200,Schussbuch!$A$3:$A$200,2024,Schussbuch!$F$3:$F$200,"Eichelhäher")</f>
        <v>0</v>
      </c>
      <c r="R3" s="71">
        <f>SUMIFS(Schussbuch!$H$3:$H$200,Schussbuch!$A$3:$A$200,2024,Schussbuch!$F$3:$F$200,"Krähe")</f>
        <v>0</v>
      </c>
      <c r="S3" s="71">
        <f>SUMIFS(Schussbuch!$H$3:$H$200,Schussbuch!$A$3:$A$200,2024,Schussbuch!$F$3:$F$200,"Elster")</f>
        <v>0</v>
      </c>
      <c r="T3" s="71">
        <f>SUMIFS(Schussbuch!$H$3:$H$200,Schussbuch!$A$3:$A$200,2024,Schussbuch!$F$3:$F$200,"Katze")</f>
        <v>0</v>
      </c>
      <c r="U3" s="71">
        <f>SUMIFS(Schussbuch!$H$3:$H$200,Schussbuch!$A$3:$A$200,2024,Schussbuch!$F$3:$F$200,"Hund")</f>
        <v>0</v>
      </c>
      <c r="V3" s="74">
        <f t="shared" ref="V3:V11" si="0">SUM(B3:U3)</f>
        <v>3</v>
      </c>
    </row>
    <row r="4" spans="1:22" x14ac:dyDescent="0.2">
      <c r="A4" s="73" t="s">
        <v>128</v>
      </c>
      <c r="B4" s="71">
        <f>SUMIFS(Schussbuch!$H$3:$H$200,Schussbuch!$A$3:$A$200,2025,Schussbuch!$F$3:$F$200,"Rotwild")</f>
        <v>0</v>
      </c>
      <c r="C4" s="71">
        <f>SUMIFS(Schussbuch!$H$3:$H$200,Schussbuch!$A$3:$A$200,2025,Schussbuch!$F$3:$F$200,"Schwarzwild")</f>
        <v>0</v>
      </c>
      <c r="D4" s="71">
        <f>SUMIFS(Schussbuch!$H$3:$H$200,Schussbuch!$A$3:$A$200,2025,Schussbuch!$F$3:$F$200,"Rehwild")</f>
        <v>0</v>
      </c>
      <c r="E4" s="71">
        <f>SUMIFS(Schussbuch!$H$3:$H$200,Schussbuch!$A$3:$A$200,2025,Schussbuch!$F$3:$F$200,"Gamswild")</f>
        <v>0</v>
      </c>
      <c r="F4" s="71">
        <f>SUMIFS(Schussbuch!$H$3:$H$200,Schussbuch!$A$3:$A$200,2025,Schussbuch!$F$3:$F$200,"Damwild")</f>
        <v>0</v>
      </c>
      <c r="G4" s="71">
        <f>SUMIFS(Schussbuch!$H$3:$H$200,Schussbuch!$A$3:$A$200,2025,Schussbuch!$F$3:$F$200,"Muffelwild")</f>
        <v>0</v>
      </c>
      <c r="H4" s="71">
        <f>SUMIFS(Schussbuch!$H$3:$H$200,Schussbuch!$A$3:$A$200,2025,Schussbuch!$F$3:$F$200,"Hase")</f>
        <v>0</v>
      </c>
      <c r="I4" s="71">
        <f>SUMIFS(Schussbuch!$H$3:$H$200,Schussbuch!$A$3:$A$200,2025,Schussbuch!$F$3:$F$200,"Kanin")</f>
        <v>0</v>
      </c>
      <c r="J4" s="71">
        <f>SUMIFS(Schussbuch!$H$3:$H$200,Schussbuch!$A$3:$A$200,2025,Schussbuch!$F$3:$F$200,"Fuchs")</f>
        <v>0</v>
      </c>
      <c r="K4" s="71">
        <f>SUMIFS(Schussbuch!$H$3:$H$200,Schussbuch!$A$3:$A$200,2025,Schussbuch!$F$3:$F$200,"Marder")</f>
        <v>0</v>
      </c>
      <c r="L4" s="71">
        <f>SUMIFS(Schussbuch!$H$3:$H$200,Schussbuch!$A$3:$A$200,2025,Schussbuch!$F$3:$F$200,"Fasan")</f>
        <v>0</v>
      </c>
      <c r="M4" s="71">
        <f>SUMIFS(Schussbuch!$H$3:$H$200,Schussbuch!$A$3:$A$200,2025,Schussbuch!$F$3:$F$200,"Gans")</f>
        <v>0</v>
      </c>
      <c r="N4" s="71">
        <f>SUMIFS(Schussbuch!$H$3:$H$200,Schussbuch!$A$3:$A$200,2025,Schussbuch!$F$3:$F$200,"Ente")</f>
        <v>0</v>
      </c>
      <c r="O4" s="71">
        <f>SUMIFS(Schussbuch!$H$3:$H$200,Schussbuch!$A$3:$A$200,2025,Schussbuch!$F$3:$F$200,"Schnepfe")</f>
        <v>0</v>
      </c>
      <c r="P4" s="71">
        <f>SUMIFS(Schussbuch!$H$3:$H$200,Schussbuch!$A$3:$A$200,2025,Schussbuch!$F$3:$F$200,"Ringeltaube")</f>
        <v>0</v>
      </c>
      <c r="Q4" s="71">
        <f>SUMIFS(Schussbuch!$H$3:$H$200,Schussbuch!$A$3:$A$200,2025,Schussbuch!$F$3:$F$200,"Eichelhäher")</f>
        <v>0</v>
      </c>
      <c r="R4" s="71">
        <f>SUMIFS(Schussbuch!$H$3:$H$200,Schussbuch!$A$3:$A$200,2025,Schussbuch!$F$3:$F$200,"Krähe")</f>
        <v>0</v>
      </c>
      <c r="S4" s="71">
        <f>SUMIFS(Schussbuch!$H$3:$H$200,Schussbuch!$A$3:$A$200,2025,Schussbuch!$F$3:$F$200,"Elster")</f>
        <v>0</v>
      </c>
      <c r="T4" s="71">
        <f>SUMIFS(Schussbuch!$H$3:$H$200,Schussbuch!$A$3:$A$200,2025,Schussbuch!$F$3:$F$200,"Katze")</f>
        <v>0</v>
      </c>
      <c r="U4" s="71">
        <f>SUMIFS(Schussbuch!$H$3:$H$200,Schussbuch!$A$3:$A$200,2025,Schussbuch!$F$3:$F$200,"Hund")</f>
        <v>0</v>
      </c>
      <c r="V4" s="74">
        <f t="shared" si="0"/>
        <v>0</v>
      </c>
    </row>
    <row r="5" spans="1:22" x14ac:dyDescent="0.2">
      <c r="A5" s="73" t="s">
        <v>129</v>
      </c>
      <c r="B5" s="71">
        <f>SUMIFS(Schussbuch!$H$3:$H$200,Schussbuch!$A$3:$A$200,2026,Schussbuch!$F$3:$F$200,"Rotwild")</f>
        <v>0</v>
      </c>
      <c r="C5" s="71">
        <f>SUMIFS(Schussbuch!$H$3:$H$200,Schussbuch!$A$3:$A$200,2026,Schussbuch!$F$3:$F$200,"Schwarzwild")</f>
        <v>0</v>
      </c>
      <c r="D5" s="71">
        <f>SUMIFS(Schussbuch!$H$3:$H$200,Schussbuch!$A$3:$A$200,2026,Schussbuch!$F$3:$F$200,"Rehwild")</f>
        <v>0</v>
      </c>
      <c r="E5" s="71">
        <f>SUMIFS(Schussbuch!$H$3:$H$200,Schussbuch!$A$3:$A$200,2026,Schussbuch!$F$3:$F$200,"Gamswild")</f>
        <v>0</v>
      </c>
      <c r="F5" s="71">
        <f>SUMIFS(Schussbuch!$H$3:$H$200,Schussbuch!$A$3:$A$200,2026,Schussbuch!$F$3:$F$200,"Damwild")</f>
        <v>0</v>
      </c>
      <c r="G5" s="71">
        <f>SUMIFS(Schussbuch!$H$3:$H$200,Schussbuch!$A$3:$A$200,2026,Schussbuch!$F$3:$F$200,"Muffelwild")</f>
        <v>0</v>
      </c>
      <c r="H5" s="71">
        <f>SUMIFS(Schussbuch!$H$3:$H$200,Schussbuch!$A$3:$A$200,2026,Schussbuch!$F$3:$F$200,"Hase")</f>
        <v>0</v>
      </c>
      <c r="I5" s="71">
        <f>SUMIFS(Schussbuch!$H$3:$H$200,Schussbuch!$A$3:$A$200,2026,Schussbuch!$F$3:$F$200,"Kanin")</f>
        <v>0</v>
      </c>
      <c r="J5" s="71">
        <f>SUMIFS(Schussbuch!$H$3:$H$200,Schussbuch!$A$3:$A$200,2026,Schussbuch!$F$3:$F$200,"Fuchs")</f>
        <v>0</v>
      </c>
      <c r="K5" s="71">
        <f>SUMIFS(Schussbuch!$H$3:$H$200,Schussbuch!$A$3:$A$200,2026,Schussbuch!$F$3:$F$200,"Marder")</f>
        <v>0</v>
      </c>
      <c r="L5" s="71">
        <f>SUMIFS(Schussbuch!$H$3:$H$200,Schussbuch!$A$3:$A$200,2026,Schussbuch!$F$3:$F$200,"Fasan")</f>
        <v>0</v>
      </c>
      <c r="M5" s="71">
        <f>SUMIFS(Schussbuch!$H$3:$H$200,Schussbuch!$A$3:$A$200,2026,Schussbuch!$F$3:$F$200,"Gans")</f>
        <v>0</v>
      </c>
      <c r="N5" s="71">
        <f>SUMIFS(Schussbuch!$H$3:$H$200,Schussbuch!$A$3:$A$200,2026,Schussbuch!$F$3:$F$200,"Ente")</f>
        <v>0</v>
      </c>
      <c r="O5" s="71">
        <f>SUMIFS(Schussbuch!$H$3:$H$200,Schussbuch!$A$3:$A$200,2026,Schussbuch!$F$3:$F$200,"Schnepfe")</f>
        <v>0</v>
      </c>
      <c r="P5" s="71">
        <f>SUMIFS(Schussbuch!$H$3:$H$200,Schussbuch!$A$3:$A$200,2026,Schussbuch!$F$3:$F$200,"Ringeltaube")</f>
        <v>0</v>
      </c>
      <c r="Q5" s="71">
        <f>SUMIFS(Schussbuch!$H$3:$H$200,Schussbuch!$A$3:$A$200,2026,Schussbuch!$F$3:$F$200,"Eichelhäher")</f>
        <v>0</v>
      </c>
      <c r="R5" s="71">
        <f>SUMIFS(Schussbuch!$H$3:$H$200,Schussbuch!$A$3:$A$200,2026,Schussbuch!$F$3:$F$200,"Krähe")</f>
        <v>0</v>
      </c>
      <c r="S5" s="71">
        <f>SUMIFS(Schussbuch!$H$3:$H$200,Schussbuch!$A$3:$A$200,2026,Schussbuch!$F$3:$F$200,"Elster")</f>
        <v>0</v>
      </c>
      <c r="T5" s="71">
        <f>SUMIFS(Schussbuch!$H$3:$H$200,Schussbuch!$A$3:$A$200,2026,Schussbuch!$F$3:$F$200,"Katze")</f>
        <v>0</v>
      </c>
      <c r="U5" s="71">
        <f>SUMIFS(Schussbuch!$H$3:$H$200,Schussbuch!$A$3:$A$200,2026,Schussbuch!$F$3:$F$200,"Hund")</f>
        <v>0</v>
      </c>
      <c r="V5" s="74">
        <f t="shared" si="0"/>
        <v>0</v>
      </c>
    </row>
    <row r="6" spans="1:22" x14ac:dyDescent="0.2">
      <c r="A6" s="73" t="s">
        <v>130</v>
      </c>
      <c r="B6" s="71">
        <f>SUMIFS(Schussbuch!$H$3:$H$200,Schussbuch!$A$3:$A$200,2027,Schussbuch!$F$3:$F$200,"Rotwild")</f>
        <v>0</v>
      </c>
      <c r="C6" s="71">
        <f>SUMIFS(Schussbuch!$H$3:$H$200,Schussbuch!$A$3:$A$200,2027,Schussbuch!$F$3:$F$200,"Schwarzwild")</f>
        <v>0</v>
      </c>
      <c r="D6" s="71">
        <f>SUMIFS(Schussbuch!$H$3:$H$200,Schussbuch!$A$3:$A$200,2027,Schussbuch!$F$3:$F$200,"Rehwild")</f>
        <v>0</v>
      </c>
      <c r="E6" s="71">
        <f>SUMIFS(Schussbuch!$H$3:$H$200,Schussbuch!$A$3:$A$200,2027,Schussbuch!$F$3:$F$200,"Gamswild")</f>
        <v>0</v>
      </c>
      <c r="F6" s="71">
        <f>SUMIFS(Schussbuch!$H$3:$H$200,Schussbuch!$A$3:$A$200,2027,Schussbuch!$F$3:$F$200,"Damwild")</f>
        <v>0</v>
      </c>
      <c r="G6" s="71">
        <f>SUMIFS(Schussbuch!$H$3:$H$200,Schussbuch!$A$3:$A$200,2027,Schussbuch!$F$3:$F$200,"Muffelwild")</f>
        <v>0</v>
      </c>
      <c r="H6" s="71">
        <f>SUMIFS(Schussbuch!$H$3:$H$200,Schussbuch!$A$3:$A$200,2027,Schussbuch!$F$3:$F$200,"Hase")</f>
        <v>0</v>
      </c>
      <c r="I6" s="71">
        <f>SUMIFS(Schussbuch!$H$3:$H$200,Schussbuch!$A$3:$A$200,2027,Schussbuch!$F$3:$F$200,"Kanin")</f>
        <v>0</v>
      </c>
      <c r="J6" s="71">
        <f>SUMIFS(Schussbuch!$H$3:$H$200,Schussbuch!$A$3:$A$200,2027,Schussbuch!$F$3:$F$200,"Fuchs")</f>
        <v>0</v>
      </c>
      <c r="K6" s="71">
        <f>SUMIFS(Schussbuch!$H$3:$H$200,Schussbuch!$A$3:$A$200,2027,Schussbuch!$F$3:$F$200,"Marder")</f>
        <v>0</v>
      </c>
      <c r="L6" s="71">
        <f>SUMIFS(Schussbuch!$H$3:$H$200,Schussbuch!$A$3:$A$200,2027,Schussbuch!$F$3:$F$200,"Fasan")</f>
        <v>0</v>
      </c>
      <c r="M6" s="71">
        <f>SUMIFS(Schussbuch!$H$3:$H$200,Schussbuch!$A$3:$A$200,2027,Schussbuch!$F$3:$F$200,"Gans")</f>
        <v>0</v>
      </c>
      <c r="N6" s="71">
        <f>SUMIFS(Schussbuch!$H$3:$H$200,Schussbuch!$A$3:$A$200,2027,Schussbuch!$F$3:$F$200,"Ente")</f>
        <v>0</v>
      </c>
      <c r="O6" s="71">
        <f>SUMIFS(Schussbuch!$H$3:$H$200,Schussbuch!$A$3:$A$200,2027,Schussbuch!$F$3:$F$200,"Schnepfe")</f>
        <v>0</v>
      </c>
      <c r="P6" s="71">
        <f>SUMIFS(Schussbuch!$H$3:$H$200,Schussbuch!$A$3:$A$200,2027,Schussbuch!$F$3:$F$200,"Ringeltaube")</f>
        <v>0</v>
      </c>
      <c r="Q6" s="71">
        <f>SUMIFS(Schussbuch!$H$3:$H$200,Schussbuch!$A$3:$A$200,2027,Schussbuch!$F$3:$F$200,"Eichelhäher")</f>
        <v>0</v>
      </c>
      <c r="R6" s="71">
        <f>SUMIFS(Schussbuch!$H$3:$H$200,Schussbuch!$A$3:$A$200,2027,Schussbuch!$F$3:$F$200,"Krähe")</f>
        <v>0</v>
      </c>
      <c r="S6" s="71">
        <f>SUMIFS(Schussbuch!$H$3:$H$200,Schussbuch!$A$3:$A$200,2027,Schussbuch!$F$3:$F$200,"Elster")</f>
        <v>0</v>
      </c>
      <c r="T6" s="71">
        <f>SUMIFS(Schussbuch!$H$3:$H$200,Schussbuch!$A$3:$A$200,2027,Schussbuch!$F$3:$F$200,"Katze")</f>
        <v>0</v>
      </c>
      <c r="U6" s="71">
        <f>SUMIFS(Schussbuch!$H$3:$H$200,Schussbuch!$A$3:$A$200,2027,Schussbuch!$F$3:$F$200,"Hund")</f>
        <v>0</v>
      </c>
      <c r="V6" s="74">
        <f t="shared" si="0"/>
        <v>0</v>
      </c>
    </row>
    <row r="7" spans="1:22" x14ac:dyDescent="0.2">
      <c r="A7" s="73" t="s">
        <v>131</v>
      </c>
      <c r="B7" s="71">
        <f>SUMIFS(Schussbuch!$H$3:$H$200,Schussbuch!$A$3:$A$200,2028,Schussbuch!$F$3:$F$200,"Rotwild")</f>
        <v>0</v>
      </c>
      <c r="C7" s="71">
        <f>SUMIFS(Schussbuch!$H$3:$H$200,Schussbuch!$A$3:$A$200,2028,Schussbuch!$F$3:$F$200,"Schwarzwild")</f>
        <v>0</v>
      </c>
      <c r="D7" s="71">
        <f>SUMIFS(Schussbuch!$H$3:$H$200,Schussbuch!$A$3:$A$200,2028,Schussbuch!$F$3:$F$200,"Rehwild")</f>
        <v>0</v>
      </c>
      <c r="E7" s="71">
        <f>SUMIFS(Schussbuch!$H$3:$H$200,Schussbuch!$A$3:$A$200,2028,Schussbuch!$F$3:$F$200,"Gamswild")</f>
        <v>0</v>
      </c>
      <c r="F7" s="71">
        <f>SUMIFS(Schussbuch!$H$3:$H$200,Schussbuch!$A$3:$A$200,2028,Schussbuch!$F$3:$F$200,"Damwild")</f>
        <v>0</v>
      </c>
      <c r="G7" s="71">
        <f>SUMIFS(Schussbuch!$H$3:$H$200,Schussbuch!$A$3:$A$200,2028,Schussbuch!$F$3:$F$200,"Muffelwild")</f>
        <v>0</v>
      </c>
      <c r="H7" s="71">
        <f>SUMIFS(Schussbuch!$H$3:$H$200,Schussbuch!$A$3:$A$200,2028,Schussbuch!$F$3:$F$200,"Hase")</f>
        <v>0</v>
      </c>
      <c r="I7" s="71">
        <f>SUMIFS(Schussbuch!$H$3:$H$200,Schussbuch!$A$3:$A$200,2028,Schussbuch!$F$3:$F$200,"Kanin")</f>
        <v>0</v>
      </c>
      <c r="J7" s="71">
        <f>SUMIFS(Schussbuch!$H$3:$H$200,Schussbuch!$A$3:$A$200,2028,Schussbuch!$F$3:$F$200,"Fuchs")</f>
        <v>0</v>
      </c>
      <c r="K7" s="71">
        <f>SUMIFS(Schussbuch!$H$3:$H$200,Schussbuch!$A$3:$A$200,2028,Schussbuch!$F$3:$F$200,"Marder")</f>
        <v>0</v>
      </c>
      <c r="L7" s="71">
        <f>SUMIFS(Schussbuch!$H$3:$H$200,Schussbuch!$A$3:$A$200,2028,Schussbuch!$F$3:$F$200,"Fasan")</f>
        <v>0</v>
      </c>
      <c r="M7" s="71">
        <f>SUMIFS(Schussbuch!$H$3:$H$200,Schussbuch!$A$3:$A$200,2028,Schussbuch!$F$3:$F$200,"Gans")</f>
        <v>0</v>
      </c>
      <c r="N7" s="71">
        <f>SUMIFS(Schussbuch!$H$3:$H$200,Schussbuch!$A$3:$A$200,2028,Schussbuch!$F$3:$F$200,"Ente")</f>
        <v>0</v>
      </c>
      <c r="O7" s="71">
        <f>SUMIFS(Schussbuch!$H$3:$H$200,Schussbuch!$A$3:$A$200,2028,Schussbuch!$F$3:$F$200,"Schnepfe")</f>
        <v>0</v>
      </c>
      <c r="P7" s="71">
        <f>SUMIFS(Schussbuch!$H$3:$H$200,Schussbuch!$A$3:$A$200,2028,Schussbuch!$F$3:$F$200,"Ringeltaube")</f>
        <v>0</v>
      </c>
      <c r="Q7" s="71">
        <f>SUMIFS(Schussbuch!$H$3:$H$200,Schussbuch!$A$3:$A$200,2028,Schussbuch!$F$3:$F$200,"Eichelhäher")</f>
        <v>0</v>
      </c>
      <c r="R7" s="71">
        <f>SUMIFS(Schussbuch!$H$3:$H$200,Schussbuch!$A$3:$A$200,2028,Schussbuch!$F$3:$F$200,"Krähe")</f>
        <v>0</v>
      </c>
      <c r="S7" s="71">
        <f>SUMIFS(Schussbuch!$H$3:$H$200,Schussbuch!$A$3:$A$200,2028,Schussbuch!$F$3:$F$200,"Elster")</f>
        <v>0</v>
      </c>
      <c r="T7" s="71">
        <f>SUMIFS(Schussbuch!$H$3:$H$200,Schussbuch!$A$3:$A$200,2028,Schussbuch!$F$3:$F$200,"Katze")</f>
        <v>0</v>
      </c>
      <c r="U7" s="71">
        <f>SUMIFS(Schussbuch!$H$3:$H$200,Schussbuch!$A$3:$A$200,2028,Schussbuch!$F$3:$F$200,"Hund")</f>
        <v>0</v>
      </c>
      <c r="V7" s="74">
        <f t="shared" si="0"/>
        <v>0</v>
      </c>
    </row>
    <row r="8" spans="1:22" x14ac:dyDescent="0.2">
      <c r="A8" s="73" t="s">
        <v>132</v>
      </c>
      <c r="B8" s="71">
        <f>SUMIFS(Schussbuch!$H$3:$H$200,Schussbuch!$A$3:$A$200,2029,Schussbuch!$F$3:$F$200,"Rotwild")</f>
        <v>0</v>
      </c>
      <c r="C8" s="71">
        <f>SUMIFS(Schussbuch!$H$3:$H$200,Schussbuch!$A$3:$A$200,2029,Schussbuch!$F$3:$F$200,"Schwarzwild")</f>
        <v>0</v>
      </c>
      <c r="D8" s="71">
        <f>SUMIFS(Schussbuch!$H$3:$H$200,Schussbuch!$A$3:$A$200,2029,Schussbuch!$F$3:$F$200,"Rehwild")</f>
        <v>0</v>
      </c>
      <c r="E8" s="71">
        <f>SUMIFS(Schussbuch!$H$3:$H$200,Schussbuch!$A$3:$A$200,2029,Schussbuch!$F$3:$F$200,"Gamswild")</f>
        <v>0</v>
      </c>
      <c r="F8" s="71">
        <f>SUMIFS(Schussbuch!$H$3:$H$200,Schussbuch!$A$3:$A$200,2029,Schussbuch!$F$3:$F$200,"Damwild")</f>
        <v>0</v>
      </c>
      <c r="G8" s="71">
        <f>SUMIFS(Schussbuch!$H$3:$H$200,Schussbuch!$A$3:$A$200,2029,Schussbuch!$F$3:$F$200,"Muffelwild")</f>
        <v>0</v>
      </c>
      <c r="H8" s="71">
        <f>SUMIFS(Schussbuch!$H$3:$H$200,Schussbuch!$A$3:$A$200,2029,Schussbuch!$F$3:$F$200,"Hase")</f>
        <v>0</v>
      </c>
      <c r="I8" s="71">
        <f>SUMIFS(Schussbuch!$H$3:$H$200,Schussbuch!$A$3:$A$200,2029,Schussbuch!$F$3:$F$200,"Kanin")</f>
        <v>0</v>
      </c>
      <c r="J8" s="71">
        <f>SUMIFS(Schussbuch!$H$3:$H$200,Schussbuch!$A$3:$A$200,2029,Schussbuch!$F$3:$F$200,"Fuchs")</f>
        <v>0</v>
      </c>
      <c r="K8" s="71">
        <f>SUMIFS(Schussbuch!$H$3:$H$200,Schussbuch!$A$3:$A$200,2029,Schussbuch!$F$3:$F$200,"Marder")</f>
        <v>0</v>
      </c>
      <c r="L8" s="71">
        <f>SUMIFS(Schussbuch!$H$3:$H$200,Schussbuch!$A$3:$A$200,2029,Schussbuch!$F$3:$F$200,"Fasan")</f>
        <v>0</v>
      </c>
      <c r="M8" s="71">
        <f>SUMIFS(Schussbuch!$H$3:$H$200,Schussbuch!$A$3:$A$200,2029,Schussbuch!$F$3:$F$200,"Gans")</f>
        <v>0</v>
      </c>
      <c r="N8" s="71">
        <f>SUMIFS(Schussbuch!$H$3:$H$200,Schussbuch!$A$3:$A$200,2029,Schussbuch!$F$3:$F$200,"Ente")</f>
        <v>0</v>
      </c>
      <c r="O8" s="71">
        <f>SUMIFS(Schussbuch!$H$3:$H$200,Schussbuch!$A$3:$A$200,2029,Schussbuch!$F$3:$F$200,"Schnepfe")</f>
        <v>0</v>
      </c>
      <c r="P8" s="71">
        <f>SUMIFS(Schussbuch!$H$3:$H$200,Schussbuch!$A$3:$A$200,2029,Schussbuch!$F$3:$F$200,"Ringeltaube")</f>
        <v>0</v>
      </c>
      <c r="Q8" s="71">
        <f>SUMIFS(Schussbuch!$H$3:$H$200,Schussbuch!$A$3:$A$200,2029,Schussbuch!$F$3:$F$200,"Eichelhäher")</f>
        <v>0</v>
      </c>
      <c r="R8" s="71">
        <f>SUMIFS(Schussbuch!$H$3:$H$200,Schussbuch!$A$3:$A$200,2029,Schussbuch!$F$3:$F$200,"Krähe")</f>
        <v>0</v>
      </c>
      <c r="S8" s="71">
        <f>SUMIFS(Schussbuch!$H$3:$H$200,Schussbuch!$A$3:$A$200,2029,Schussbuch!$F$3:$F$200,"Elster")</f>
        <v>0</v>
      </c>
      <c r="T8" s="71">
        <f>SUMIFS(Schussbuch!$H$3:$H$200,Schussbuch!$A$3:$A$200,2029,Schussbuch!$F$3:$F$200,"Katze")</f>
        <v>0</v>
      </c>
      <c r="U8" s="71">
        <f>SUMIFS(Schussbuch!$H$3:$H$200,Schussbuch!$A$3:$A$200,2029,Schussbuch!$F$3:$F$200,"Hund")</f>
        <v>0</v>
      </c>
      <c r="V8" s="74">
        <f t="shared" si="0"/>
        <v>0</v>
      </c>
    </row>
    <row r="9" spans="1:22" x14ac:dyDescent="0.2">
      <c r="A9" s="73" t="s">
        <v>134</v>
      </c>
      <c r="B9" s="71">
        <f>SUMIFS(Schussbuch!$H$3:$H$200,Schussbuch!$A$3:$A$200,2030,Schussbuch!$F$3:$F$200,"Rotwild")</f>
        <v>0</v>
      </c>
      <c r="C9" s="71">
        <f>SUMIFS(Schussbuch!$H$3:$H$200,Schussbuch!$A$3:$A$200,2030,Schussbuch!$F$3:$F$200,"Schwarzwild")</f>
        <v>0</v>
      </c>
      <c r="D9" s="71">
        <f>SUMIFS(Schussbuch!$H$3:$H$200,Schussbuch!$A$3:$A$200,2030,Schussbuch!$F$3:$F$200,"Rehwild")</f>
        <v>0</v>
      </c>
      <c r="E9" s="71">
        <f>SUMIFS(Schussbuch!$H$3:$H$200,Schussbuch!$A$3:$A$200,2030,Schussbuch!$F$3:$F$200,"Gamswild")</f>
        <v>0</v>
      </c>
      <c r="F9" s="71">
        <f>SUMIFS(Schussbuch!$H$3:$H$200,Schussbuch!$A$3:$A$200,2030,Schussbuch!$F$3:$F$200,"Damwild")</f>
        <v>0</v>
      </c>
      <c r="G9" s="71">
        <f>SUMIFS(Schussbuch!$H$3:$H$200,Schussbuch!$A$3:$A$200,2030,Schussbuch!$F$3:$F$200,"Muffelwild")</f>
        <v>0</v>
      </c>
      <c r="H9" s="71">
        <f>SUMIFS(Schussbuch!$H$3:$H$200,Schussbuch!$A$3:$A$200,2030,Schussbuch!$F$3:$F$200,"Hase")</f>
        <v>0</v>
      </c>
      <c r="I9" s="71">
        <f>SUMIFS(Schussbuch!$H$3:$H$200,Schussbuch!$A$3:$A$200,2030,Schussbuch!$F$3:$F$200,"Kanin")</f>
        <v>0</v>
      </c>
      <c r="J9" s="71">
        <f>SUMIFS(Schussbuch!$H$3:$H$200,Schussbuch!$A$3:$A$200,2030,Schussbuch!$F$3:$F$200,"Fuchs")</f>
        <v>0</v>
      </c>
      <c r="K9" s="71">
        <f>SUMIFS(Schussbuch!$H$3:$H$200,Schussbuch!$A$3:$A$200,2030,Schussbuch!$F$3:$F$200,"Marder")</f>
        <v>0</v>
      </c>
      <c r="L9" s="71">
        <f>SUMIFS(Schussbuch!$H$3:$H$200,Schussbuch!$A$3:$A$200,2030,Schussbuch!$F$3:$F$200,"Fasan")</f>
        <v>0</v>
      </c>
      <c r="M9" s="71">
        <f>SUMIFS(Schussbuch!$H$3:$H$200,Schussbuch!$A$3:$A$200,2030,Schussbuch!$F$3:$F$200,"Gans")</f>
        <v>0</v>
      </c>
      <c r="N9" s="71">
        <f>SUMIFS(Schussbuch!$H$3:$H$200,Schussbuch!$A$3:$A$200,2030,Schussbuch!$F$3:$F$200,"Ente")</f>
        <v>0</v>
      </c>
      <c r="O9" s="71">
        <f>SUMIFS(Schussbuch!$H$3:$H$200,Schussbuch!$A$3:$A$200,2030,Schussbuch!$F$3:$F$200,"Schnepfe")</f>
        <v>0</v>
      </c>
      <c r="P9" s="71">
        <f>SUMIFS(Schussbuch!$H$3:$H$200,Schussbuch!$A$3:$A$200,2030,Schussbuch!$F$3:$F$200,"Ringeltaube")</f>
        <v>0</v>
      </c>
      <c r="Q9" s="71">
        <f>SUMIFS(Schussbuch!$H$3:$H$200,Schussbuch!$A$3:$A$200,2030,Schussbuch!$F$3:$F$200,"Eichelhäher")</f>
        <v>0</v>
      </c>
      <c r="R9" s="71">
        <f>SUMIFS(Schussbuch!$H$3:$H$200,Schussbuch!$A$3:$A$200,2030,Schussbuch!$F$3:$F$200,"Krähe")</f>
        <v>0</v>
      </c>
      <c r="S9" s="71">
        <f>SUMIFS(Schussbuch!$H$3:$H$200,Schussbuch!$A$3:$A$200,2030,Schussbuch!$F$3:$F$200,"Elster")</f>
        <v>0</v>
      </c>
      <c r="T9" s="71">
        <f>SUMIFS(Schussbuch!$H$3:$H$200,Schussbuch!$A$3:$A$200,2030,Schussbuch!$F$3:$F$200,"Katze")</f>
        <v>0</v>
      </c>
      <c r="U9" s="71">
        <f>SUMIFS(Schussbuch!$H$3:$H$200,Schussbuch!$A$3:$A$200,2030,Schussbuch!$F$3:$F$200,"Hund")</f>
        <v>0</v>
      </c>
      <c r="V9" s="74">
        <f t="shared" si="0"/>
        <v>0</v>
      </c>
    </row>
    <row r="10" spans="1:22" x14ac:dyDescent="0.2">
      <c r="A10" s="73" t="s">
        <v>135</v>
      </c>
      <c r="B10" s="71">
        <f>SUMIFS(Schussbuch!$H$3:$H$200,Schussbuch!$A$3:$A$200,2031,Schussbuch!$F$3:$F$200,"Rotwild")</f>
        <v>0</v>
      </c>
      <c r="C10" s="71">
        <f>SUMIFS(Schussbuch!$H$3:$H$200,Schussbuch!$A$3:$A$200,2031,Schussbuch!$F$3:$F$200,"Schwarzwild")</f>
        <v>0</v>
      </c>
      <c r="D10" s="71">
        <f>SUMIFS(Schussbuch!$H$3:$H$200,Schussbuch!$A$3:$A$200,2031,Schussbuch!$F$3:$F$200,"Rehwild")</f>
        <v>0</v>
      </c>
      <c r="E10" s="71">
        <f>SUMIFS(Schussbuch!$H$3:$H$200,Schussbuch!$A$3:$A$200,2031,Schussbuch!$F$3:$F$200,"Gamswild")</f>
        <v>0</v>
      </c>
      <c r="F10" s="71">
        <f>SUMIFS(Schussbuch!$H$3:$H$200,Schussbuch!$A$3:$A$200,2031,Schussbuch!$F$3:$F$200,"Damwild")</f>
        <v>0</v>
      </c>
      <c r="G10" s="71">
        <f>SUMIFS(Schussbuch!$H$3:$H$200,Schussbuch!$A$3:$A$200,2031,Schussbuch!$F$3:$F$200,"Muffelwild")</f>
        <v>0</v>
      </c>
      <c r="H10" s="71">
        <f>SUMIFS(Schussbuch!$H$3:$H$200,Schussbuch!$A$3:$A$200,2031,Schussbuch!$F$3:$F$200,"Hase")</f>
        <v>0</v>
      </c>
      <c r="I10" s="71">
        <f>SUMIFS(Schussbuch!$H$3:$H$200,Schussbuch!$A$3:$A$200,2031,Schussbuch!$F$3:$F$200,"Kanin")</f>
        <v>0</v>
      </c>
      <c r="J10" s="71">
        <f>SUMIFS(Schussbuch!$H$3:$H$200,Schussbuch!$A$3:$A$200,2031,Schussbuch!$F$3:$F$200,"Fuchs")</f>
        <v>0</v>
      </c>
      <c r="K10" s="71">
        <f>SUMIFS(Schussbuch!$H$3:$H$200,Schussbuch!$A$3:$A$200,2031,Schussbuch!$F$3:$F$200,"Marder")</f>
        <v>0</v>
      </c>
      <c r="L10" s="71">
        <f>SUMIFS(Schussbuch!$H$3:$H$200,Schussbuch!$A$3:$A$200,2031,Schussbuch!$F$3:$F$200,"Fasan")</f>
        <v>0</v>
      </c>
      <c r="M10" s="71">
        <f>SUMIFS(Schussbuch!$H$3:$H$200,Schussbuch!$A$3:$A$200,2031,Schussbuch!$F$3:$F$200,"Gans")</f>
        <v>0</v>
      </c>
      <c r="N10" s="71">
        <f>SUMIFS(Schussbuch!$H$3:$H$200,Schussbuch!$A$3:$A$200,2031,Schussbuch!$F$3:$F$200,"Ente")</f>
        <v>0</v>
      </c>
      <c r="O10" s="71">
        <f>SUMIFS(Schussbuch!$H$3:$H$200,Schussbuch!$A$3:$A$200,2031,Schussbuch!$F$3:$F$200,"Schnepfe")</f>
        <v>0</v>
      </c>
      <c r="P10" s="71">
        <f>SUMIFS(Schussbuch!$H$3:$H$200,Schussbuch!$A$3:$A$200,2031,Schussbuch!$F$3:$F$200,"Ringeltaube")</f>
        <v>0</v>
      </c>
      <c r="Q10" s="71">
        <f>SUMIFS(Schussbuch!$H$3:$H$200,Schussbuch!$A$3:$A$200,2031,Schussbuch!$F$3:$F$200,"Eichelhäher")</f>
        <v>0</v>
      </c>
      <c r="R10" s="71">
        <f>SUMIFS(Schussbuch!$H$3:$H$200,Schussbuch!$A$3:$A$200,2031,Schussbuch!$F$3:$F$200,"Krähe")</f>
        <v>0</v>
      </c>
      <c r="S10" s="71">
        <f>SUMIFS(Schussbuch!$H$3:$H$200,Schussbuch!$A$3:$A$200,2031,Schussbuch!$F$3:$F$200,"Elster")</f>
        <v>0</v>
      </c>
      <c r="T10" s="71">
        <f>SUMIFS(Schussbuch!$H$3:$H$200,Schussbuch!$A$3:$A$200,2031,Schussbuch!$F$3:$F$200,"Katze")</f>
        <v>0</v>
      </c>
      <c r="U10" s="71">
        <f>SUMIFS(Schussbuch!$H$3:$H$200,Schussbuch!$A$3:$A$200,2031,Schussbuch!$F$3:$F$200,"Hund")</f>
        <v>0</v>
      </c>
      <c r="V10" s="74">
        <f t="shared" si="0"/>
        <v>0</v>
      </c>
    </row>
    <row r="11" spans="1:22" x14ac:dyDescent="0.2">
      <c r="A11" s="73" t="s">
        <v>136</v>
      </c>
      <c r="B11" s="71">
        <f>SUMIFS(Schussbuch!$H$3:$H$200,Schussbuch!$A$3:$A$200,2032,Schussbuch!$F$3:$F$200,"Rotwild")</f>
        <v>0</v>
      </c>
      <c r="C11" s="71">
        <f>SUMIFS(Schussbuch!$H$3:$H$200,Schussbuch!$A$3:$A$200,2032,Schussbuch!$F$3:$F$200,"Schwarzwild")</f>
        <v>0</v>
      </c>
      <c r="D11" s="71">
        <f>SUMIFS(Schussbuch!$H$3:$H$200,Schussbuch!$A$3:$A$200,2032,Schussbuch!$F$3:$F$200,"Rehwild")</f>
        <v>0</v>
      </c>
      <c r="E11" s="71">
        <f>SUMIFS(Schussbuch!$H$3:$H$200,Schussbuch!$A$3:$A$200,2032,Schussbuch!$F$3:$F$200,"Gamswild")</f>
        <v>0</v>
      </c>
      <c r="F11" s="71">
        <f>SUMIFS(Schussbuch!$H$3:$H$200,Schussbuch!$A$3:$A$200,2032,Schussbuch!$F$3:$F$200,"Damwild")</f>
        <v>0</v>
      </c>
      <c r="G11" s="71">
        <f>SUMIFS(Schussbuch!$H$3:$H$200,Schussbuch!$A$3:$A$200,2032,Schussbuch!$F$3:$F$200,"Muffelwild")</f>
        <v>0</v>
      </c>
      <c r="H11" s="71">
        <f>SUMIFS(Schussbuch!$H$3:$H$200,Schussbuch!$A$3:$A$200,2032,Schussbuch!$F$3:$F$200,"Hase")</f>
        <v>0</v>
      </c>
      <c r="I11" s="71">
        <f>SUMIFS(Schussbuch!$H$3:$H$200,Schussbuch!$A$3:$A$200,2032,Schussbuch!$F$3:$F$200,"Kanin")</f>
        <v>0</v>
      </c>
      <c r="J11" s="71">
        <f>SUMIFS(Schussbuch!$H$3:$H$200,Schussbuch!$A$3:$A$200,2032,Schussbuch!$F$3:$F$200,"Fuchs")</f>
        <v>0</v>
      </c>
      <c r="K11" s="71">
        <f>SUMIFS(Schussbuch!$H$3:$H$200,Schussbuch!$A$3:$A$200,2032,Schussbuch!$F$3:$F$200,"Marder")</f>
        <v>0</v>
      </c>
      <c r="L11" s="71">
        <f>SUMIFS(Schussbuch!$H$3:$H$200,Schussbuch!$A$3:$A$200,2032,Schussbuch!$F$3:$F$200,"Fasan")</f>
        <v>0</v>
      </c>
      <c r="M11" s="71">
        <f>SUMIFS(Schussbuch!$H$3:$H$200,Schussbuch!$A$3:$A$200,2032,Schussbuch!$F$3:$F$200,"Gans")</f>
        <v>0</v>
      </c>
      <c r="N11" s="71">
        <f>SUMIFS(Schussbuch!$H$3:$H$200,Schussbuch!$A$3:$A$200,2032,Schussbuch!$F$3:$F$200,"Ente")</f>
        <v>0</v>
      </c>
      <c r="O11" s="71">
        <f>SUMIFS(Schussbuch!$H$3:$H$200,Schussbuch!$A$3:$A$200,2032,Schussbuch!$F$3:$F$200,"Schnepfe")</f>
        <v>0</v>
      </c>
      <c r="P11" s="71">
        <f>SUMIFS(Schussbuch!$H$3:$H$200,Schussbuch!$A$3:$A$200,2032,Schussbuch!$F$3:$F$200,"Ringeltaube")</f>
        <v>0</v>
      </c>
      <c r="Q11" s="71">
        <f>SUMIFS(Schussbuch!$H$3:$H$200,Schussbuch!$A$3:$A$200,2032,Schussbuch!$F$3:$F$200,"Eichelhäher")</f>
        <v>0</v>
      </c>
      <c r="R11" s="71">
        <f>SUMIFS(Schussbuch!$H$3:$H$200,Schussbuch!$A$3:$A$200,2032,Schussbuch!$F$3:$F$200,"Krähe")</f>
        <v>0</v>
      </c>
      <c r="S11" s="71">
        <f>SUMIFS(Schussbuch!$H$3:$H$200,Schussbuch!$A$3:$A$200,2032,Schussbuch!$F$3:$F$200,"Elster")</f>
        <v>0</v>
      </c>
      <c r="T11" s="71">
        <f>SUMIFS(Schussbuch!$H$3:$H$200,Schussbuch!$A$3:$A$200,2032,Schussbuch!$F$3:$F$200,"Katze")</f>
        <v>0</v>
      </c>
      <c r="U11" s="71">
        <f>SUMIFS(Schussbuch!$H$3:$H$200,Schussbuch!$A$3:$A$200,2032,Schussbuch!$F$3:$F$200,"Hund")</f>
        <v>0</v>
      </c>
      <c r="V11" s="74">
        <f t="shared" si="0"/>
        <v>0</v>
      </c>
    </row>
    <row r="12" spans="1:22" x14ac:dyDescent="0.2">
      <c r="A12" s="73" t="s">
        <v>141</v>
      </c>
      <c r="B12" s="71">
        <f>SUMIFS(Schussbuch!$H$3:$H$200,Schussbuch!$A$3:$A$200,2033,Schussbuch!$F$3:$F$200,"Rotwild")</f>
        <v>0</v>
      </c>
      <c r="C12" s="71">
        <f>SUMIFS(Schussbuch!$H$3:$H$200,Schussbuch!$A$3:$A$200,2033,Schussbuch!$F$3:$F$200,"Schwarzwild")</f>
        <v>0</v>
      </c>
      <c r="D12" s="71">
        <f>SUMIFS(Schussbuch!$H$3:$H$200,Schussbuch!$A$3:$A$200,2033,Schussbuch!$F$3:$F$200,"Rehwild")</f>
        <v>0</v>
      </c>
      <c r="E12" s="71">
        <f>SUMIFS(Schussbuch!$H$3:$H$200,Schussbuch!$A$3:$A$200,2033,Schussbuch!$F$3:$F$200,"Gamswild")</f>
        <v>0</v>
      </c>
      <c r="F12" s="71">
        <f>SUMIFS(Schussbuch!$H$3:$H$200,Schussbuch!$A$3:$A$200,2033,Schussbuch!$F$3:$F$200,"Damwild")</f>
        <v>0</v>
      </c>
      <c r="G12" s="71">
        <f>SUMIFS(Schussbuch!$H$3:$H$200,Schussbuch!$A$3:$A$200,2033,Schussbuch!$F$3:$F$200,"Muffelwild")</f>
        <v>0</v>
      </c>
      <c r="H12" s="71">
        <f>SUMIFS(Schussbuch!$H$3:$H$200,Schussbuch!$A$3:$A$200,2033,Schussbuch!$F$3:$F$200,"Hase")</f>
        <v>0</v>
      </c>
      <c r="I12" s="71">
        <f>SUMIFS(Schussbuch!$H$3:$H$200,Schussbuch!$A$3:$A$200,2033,Schussbuch!$F$3:$F$200,"Kanin")</f>
        <v>0</v>
      </c>
      <c r="J12" s="71">
        <f>SUMIFS(Schussbuch!$H$3:$H$200,Schussbuch!$A$3:$A$200,2033,Schussbuch!$F$3:$F$200,"Fuchs")</f>
        <v>0</v>
      </c>
      <c r="K12" s="71">
        <f>SUMIFS(Schussbuch!$H$3:$H$200,Schussbuch!$A$3:$A$200,2033,Schussbuch!$F$3:$F$200,"Marder")</f>
        <v>0</v>
      </c>
      <c r="L12" s="71">
        <f>SUMIFS(Schussbuch!$H$3:$H$200,Schussbuch!$A$3:$A$200,2033,Schussbuch!$F$3:$F$200,"Fasan")</f>
        <v>0</v>
      </c>
      <c r="M12" s="71">
        <f>SUMIFS(Schussbuch!$H$3:$H$200,Schussbuch!$A$3:$A$200,2033,Schussbuch!$F$3:$F$200,"Gans")</f>
        <v>0</v>
      </c>
      <c r="N12" s="71">
        <f>SUMIFS(Schussbuch!$H$3:$H$200,Schussbuch!$A$3:$A$200,2033,Schussbuch!$F$3:$F$200,"Ente")</f>
        <v>0</v>
      </c>
      <c r="O12" s="71">
        <f>SUMIFS(Schussbuch!$H$3:$H$200,Schussbuch!$A$3:$A$200,2033,Schussbuch!$F$3:$F$200,"Schnepfe")</f>
        <v>0</v>
      </c>
      <c r="P12" s="71">
        <f>SUMIFS(Schussbuch!$H$3:$H$200,Schussbuch!$A$3:$A$200,2033,Schussbuch!$F$3:$F$200,"Ringeltaube")</f>
        <v>0</v>
      </c>
      <c r="Q12" s="71">
        <f>SUMIFS(Schussbuch!$H$3:$H$200,Schussbuch!$A$3:$A$200,2033,Schussbuch!$F$3:$F$200,"Eichelhäher")</f>
        <v>0</v>
      </c>
      <c r="R12" s="71">
        <f>SUMIFS(Schussbuch!$H$3:$H$200,Schussbuch!$A$3:$A$200,2033,Schussbuch!$F$3:$F$200,"Krähe")</f>
        <v>0</v>
      </c>
      <c r="S12" s="71">
        <f>SUMIFS(Schussbuch!$H$3:$H$200,Schussbuch!$A$3:$A$200,2033,Schussbuch!$F$3:$F$200,"Elster")</f>
        <v>0</v>
      </c>
      <c r="T12" s="71">
        <f>SUMIFS(Schussbuch!$H$3:$H$200,Schussbuch!$A$3:$A$200,2033,Schussbuch!$F$3:$F$200,"Katze")</f>
        <v>0</v>
      </c>
      <c r="U12" s="71">
        <f>SUMIFS(Schussbuch!$H$3:$H$200,Schussbuch!$A$3:$A$200,2033,Schussbuch!$F$3:$F$200,"Hund")</f>
        <v>0</v>
      </c>
      <c r="V12" s="72">
        <f t="shared" ref="V12:V28" si="1">SUM(B12:U12)</f>
        <v>0</v>
      </c>
    </row>
    <row r="13" spans="1:22" x14ac:dyDescent="0.2">
      <c r="A13" s="73" t="s">
        <v>142</v>
      </c>
      <c r="B13" s="71">
        <f>SUMIFS(Schussbuch!$H$3:$H$200,Schussbuch!$A$3:$A$200,2034,Schussbuch!$F$3:$F$200,"Rotwild")</f>
        <v>0</v>
      </c>
      <c r="C13" s="71">
        <f>SUMIFS(Schussbuch!$H$3:$H$200,Schussbuch!$A$3:$A$200,2034,Schussbuch!$F$3:$F$200,"Schwarzwild")</f>
        <v>0</v>
      </c>
      <c r="D13" s="71">
        <f>SUMIFS(Schussbuch!$H$3:$H$200,Schussbuch!$A$3:$A$200,2034,Schussbuch!$F$3:$F$200,"Rehwild")</f>
        <v>0</v>
      </c>
      <c r="E13" s="71">
        <f>SUMIFS(Schussbuch!$H$3:$H$200,Schussbuch!$A$3:$A$200,2034,Schussbuch!$F$3:$F$200,"Gamswild")</f>
        <v>0</v>
      </c>
      <c r="F13" s="71">
        <f>SUMIFS(Schussbuch!$H$3:$H$200,Schussbuch!$A$3:$A$200,2034,Schussbuch!$F$3:$F$200,"Damwild")</f>
        <v>0</v>
      </c>
      <c r="G13" s="71">
        <f>SUMIFS(Schussbuch!$H$3:$H$200,Schussbuch!$A$3:$A$200,2034,Schussbuch!$F$3:$F$200,"Muffelwild")</f>
        <v>0</v>
      </c>
      <c r="H13" s="71">
        <f>SUMIFS(Schussbuch!$H$3:$H$200,Schussbuch!$A$3:$A$200,2034,Schussbuch!$F$3:$F$200,"Hase")</f>
        <v>0</v>
      </c>
      <c r="I13" s="71">
        <f>SUMIFS(Schussbuch!$H$3:$H$200,Schussbuch!$A$3:$A$200,2034,Schussbuch!$F$3:$F$200,"Kanin")</f>
        <v>0</v>
      </c>
      <c r="J13" s="71">
        <f>SUMIFS(Schussbuch!$H$3:$H$200,Schussbuch!$A$3:$A$200,2034,Schussbuch!$F$3:$F$200,"Fuchs")</f>
        <v>0</v>
      </c>
      <c r="K13" s="71">
        <f>SUMIFS(Schussbuch!$H$3:$H$200,Schussbuch!$A$3:$A$200,2034,Schussbuch!$F$3:$F$200,"Marder")</f>
        <v>0</v>
      </c>
      <c r="L13" s="71">
        <f>SUMIFS(Schussbuch!$H$3:$H$200,Schussbuch!$A$3:$A$200,2034,Schussbuch!$F$3:$F$200,"Fasan")</f>
        <v>0</v>
      </c>
      <c r="M13" s="71">
        <f>SUMIFS(Schussbuch!$H$3:$H$200,Schussbuch!$A$3:$A$200,2034,Schussbuch!$F$3:$F$200,"Gans")</f>
        <v>0</v>
      </c>
      <c r="N13" s="71">
        <f>SUMIFS(Schussbuch!$H$3:$H$200,Schussbuch!$A$3:$A$200,2034,Schussbuch!$F$3:$F$200,"Ente")</f>
        <v>0</v>
      </c>
      <c r="O13" s="71">
        <f>SUMIFS(Schussbuch!$H$3:$H$200,Schussbuch!$A$3:$A$200,2034,Schussbuch!$F$3:$F$200,"Schnepfe")</f>
        <v>0</v>
      </c>
      <c r="P13" s="71">
        <f>SUMIFS(Schussbuch!$H$3:$H$200,Schussbuch!$A$3:$A$200,2034,Schussbuch!$F$3:$F$200,"Ringeltaube")</f>
        <v>0</v>
      </c>
      <c r="Q13" s="71">
        <f>SUMIFS(Schussbuch!$H$3:$H$200,Schussbuch!$A$3:$A$200,2034,Schussbuch!$F$3:$F$200,"Eichelhäher")</f>
        <v>0</v>
      </c>
      <c r="R13" s="71">
        <f>SUMIFS(Schussbuch!$H$3:$H$200,Schussbuch!$A$3:$A$200,2034,Schussbuch!$F$3:$F$200,"Krähe")</f>
        <v>0</v>
      </c>
      <c r="S13" s="71">
        <f>SUMIFS(Schussbuch!$H$3:$H$200,Schussbuch!$A$3:$A$200,2034,Schussbuch!$F$3:$F$200,"Elster")</f>
        <v>0</v>
      </c>
      <c r="T13" s="71">
        <f>SUMIFS(Schussbuch!$H$3:$H$200,Schussbuch!$A$3:$A$200,2034,Schussbuch!$F$3:$F$200,"Katze")</f>
        <v>0</v>
      </c>
      <c r="U13" s="71">
        <f>SUMIFS(Schussbuch!$H$3:$H$200,Schussbuch!$A$3:$A$200,2034,Schussbuch!$F$3:$F$200,"Hund")</f>
        <v>0</v>
      </c>
      <c r="V13" s="74">
        <f t="shared" si="1"/>
        <v>0</v>
      </c>
    </row>
    <row r="14" spans="1:22" x14ac:dyDescent="0.2">
      <c r="A14" s="73" t="s">
        <v>143</v>
      </c>
      <c r="B14" s="71">
        <f>SUMIFS(Schussbuch!$H$3:$H$200,Schussbuch!$A$3:$A$200,2035,Schussbuch!$F$3:$F$200,"Rotwild")</f>
        <v>0</v>
      </c>
      <c r="C14" s="71">
        <f>SUMIFS(Schussbuch!$H$3:$H$200,Schussbuch!$A$3:$A$200,2035,Schussbuch!$F$3:$F$200,"Schwarzwild")</f>
        <v>0</v>
      </c>
      <c r="D14" s="71">
        <f>SUMIFS(Schussbuch!$H$3:$H$200,Schussbuch!$A$3:$A$200,2035,Schussbuch!$F$3:$F$200,"Rehwild")</f>
        <v>0</v>
      </c>
      <c r="E14" s="71">
        <f>SUMIFS(Schussbuch!$H$3:$H$200,Schussbuch!$A$3:$A$200,2035,Schussbuch!$F$3:$F$200,"Gamswild")</f>
        <v>0</v>
      </c>
      <c r="F14" s="71">
        <f>SUMIFS(Schussbuch!$H$3:$H$200,Schussbuch!$A$3:$A$200,2035,Schussbuch!$F$3:$F$200,"Damwild")</f>
        <v>0</v>
      </c>
      <c r="G14" s="71">
        <f>SUMIFS(Schussbuch!$H$3:$H$200,Schussbuch!$A$3:$A$200,2035,Schussbuch!$F$3:$F$200,"Muffelwild")</f>
        <v>0</v>
      </c>
      <c r="H14" s="71">
        <f>SUMIFS(Schussbuch!$H$3:$H$200,Schussbuch!$A$3:$A$200,2035,Schussbuch!$F$3:$F$200,"Hase")</f>
        <v>0</v>
      </c>
      <c r="I14" s="71">
        <f>SUMIFS(Schussbuch!$H$3:$H$200,Schussbuch!$A$3:$A$200,2035,Schussbuch!$F$3:$F$200,"Kanin")</f>
        <v>0</v>
      </c>
      <c r="J14" s="71">
        <f>SUMIFS(Schussbuch!$H$3:$H$200,Schussbuch!$A$3:$A$200,2035,Schussbuch!$F$3:$F$200,"Fuchs")</f>
        <v>0</v>
      </c>
      <c r="K14" s="71">
        <f>SUMIFS(Schussbuch!$H$3:$H$200,Schussbuch!$A$3:$A$200,2035,Schussbuch!$F$3:$F$200,"Marder")</f>
        <v>0</v>
      </c>
      <c r="L14" s="71">
        <f>SUMIFS(Schussbuch!$H$3:$H$200,Schussbuch!$A$3:$A$200,2035,Schussbuch!$F$3:$F$200,"Fasan")</f>
        <v>0</v>
      </c>
      <c r="M14" s="71">
        <f>SUMIFS(Schussbuch!$H$3:$H$200,Schussbuch!$A$3:$A$200,2035,Schussbuch!$F$3:$F$200,"Gans")</f>
        <v>0</v>
      </c>
      <c r="N14" s="71">
        <f>SUMIFS(Schussbuch!$H$3:$H$200,Schussbuch!$A$3:$A$200,2035,Schussbuch!$F$3:$F$200,"Ente")</f>
        <v>0</v>
      </c>
      <c r="O14" s="71">
        <f>SUMIFS(Schussbuch!$H$3:$H$200,Schussbuch!$A$3:$A$200,2035,Schussbuch!$F$3:$F$200,"Schnepfe")</f>
        <v>0</v>
      </c>
      <c r="P14" s="71">
        <f>SUMIFS(Schussbuch!$H$3:$H$200,Schussbuch!$A$3:$A$200,2035,Schussbuch!$F$3:$F$200,"Ringeltaube")</f>
        <v>0</v>
      </c>
      <c r="Q14" s="71">
        <f>SUMIFS(Schussbuch!$H$3:$H$200,Schussbuch!$A$3:$A$200,2035,Schussbuch!$F$3:$F$200,"Eichelhäher")</f>
        <v>0</v>
      </c>
      <c r="R14" s="71">
        <f>SUMIFS(Schussbuch!$H$3:$H$200,Schussbuch!$A$3:$A$200,2035,Schussbuch!$F$3:$F$200,"Krähe")</f>
        <v>0</v>
      </c>
      <c r="S14" s="71">
        <f>SUMIFS(Schussbuch!$H$3:$H$200,Schussbuch!$A$3:$A$200,2035,Schussbuch!$F$3:$F$200,"Elster")</f>
        <v>0</v>
      </c>
      <c r="T14" s="71">
        <f>SUMIFS(Schussbuch!$H$3:$H$200,Schussbuch!$A$3:$A$200,2035,Schussbuch!$F$3:$F$200,"Katze")</f>
        <v>0</v>
      </c>
      <c r="U14" s="71">
        <f>SUMIFS(Schussbuch!$H$3:$H$200,Schussbuch!$A$3:$A$200,2035,Schussbuch!$F$3:$F$200,"Hund")</f>
        <v>0</v>
      </c>
      <c r="V14" s="74">
        <f t="shared" si="1"/>
        <v>0</v>
      </c>
    </row>
    <row r="15" spans="1:22" x14ac:dyDescent="0.2">
      <c r="A15" s="73" t="s">
        <v>144</v>
      </c>
      <c r="B15" s="71">
        <f>SUMIFS(Schussbuch!$H$3:$H$200,Schussbuch!$A$3:$A$200,2036,Schussbuch!$F$3:$F$200,"Rotwild")</f>
        <v>0</v>
      </c>
      <c r="C15" s="71">
        <f>SUMIFS(Schussbuch!$H$3:$H$200,Schussbuch!$A$3:$A$200,2036,Schussbuch!$F$3:$F$200,"Schwarzwild")</f>
        <v>0</v>
      </c>
      <c r="D15" s="71">
        <f>SUMIFS(Schussbuch!$H$3:$H$200,Schussbuch!$A$3:$A$200,2036,Schussbuch!$F$3:$F$200,"Rehwild")</f>
        <v>0</v>
      </c>
      <c r="E15" s="71">
        <f>SUMIFS(Schussbuch!$H$3:$H$200,Schussbuch!$A$3:$A$200,2036,Schussbuch!$F$3:$F$200,"Gamswild")</f>
        <v>0</v>
      </c>
      <c r="F15" s="71">
        <f>SUMIFS(Schussbuch!$H$3:$H$200,Schussbuch!$A$3:$A$200,2036,Schussbuch!$F$3:$F$200,"Damwild")</f>
        <v>0</v>
      </c>
      <c r="G15" s="71">
        <f>SUMIFS(Schussbuch!$H$3:$H$200,Schussbuch!$A$3:$A$200,2036,Schussbuch!$F$3:$F$200,"Muffelwild")</f>
        <v>0</v>
      </c>
      <c r="H15" s="71">
        <f>SUMIFS(Schussbuch!$H$3:$H$200,Schussbuch!$A$3:$A$200,2036,Schussbuch!$F$3:$F$200,"Hase")</f>
        <v>0</v>
      </c>
      <c r="I15" s="71">
        <f>SUMIFS(Schussbuch!$H$3:$H$200,Schussbuch!$A$3:$A$200,2036,Schussbuch!$F$3:$F$200,"Kanin")</f>
        <v>0</v>
      </c>
      <c r="J15" s="71">
        <f>SUMIFS(Schussbuch!$H$3:$H$200,Schussbuch!$A$3:$A$200,2036,Schussbuch!$F$3:$F$200,"Fuchs")</f>
        <v>0</v>
      </c>
      <c r="K15" s="71">
        <f>SUMIFS(Schussbuch!$H$3:$H$200,Schussbuch!$A$3:$A$200,2036,Schussbuch!$F$3:$F$200,"Marder")</f>
        <v>0</v>
      </c>
      <c r="L15" s="71">
        <f>SUMIFS(Schussbuch!$H$3:$H$200,Schussbuch!$A$3:$A$200,2036,Schussbuch!$F$3:$F$200,"Fasan")</f>
        <v>0</v>
      </c>
      <c r="M15" s="71">
        <f>SUMIFS(Schussbuch!$H$3:$H$200,Schussbuch!$A$3:$A$200,2036,Schussbuch!$F$3:$F$200,"Gans")</f>
        <v>0</v>
      </c>
      <c r="N15" s="71">
        <f>SUMIFS(Schussbuch!$H$3:$H$200,Schussbuch!$A$3:$A$200,2036,Schussbuch!$F$3:$F$200,"Ente")</f>
        <v>0</v>
      </c>
      <c r="O15" s="71">
        <f>SUMIFS(Schussbuch!$H$3:$H$200,Schussbuch!$A$3:$A$200,2036,Schussbuch!$F$3:$F$200,"Schnepfe")</f>
        <v>0</v>
      </c>
      <c r="P15" s="71">
        <f>SUMIFS(Schussbuch!$H$3:$H$200,Schussbuch!$A$3:$A$200,2036,Schussbuch!$F$3:$F$200,"Ringeltaube")</f>
        <v>0</v>
      </c>
      <c r="Q15" s="71">
        <f>SUMIFS(Schussbuch!$H$3:$H$200,Schussbuch!$A$3:$A$200,2036,Schussbuch!$F$3:$F$200,"Eichelhäher")</f>
        <v>0</v>
      </c>
      <c r="R15" s="71">
        <f>SUMIFS(Schussbuch!$H$3:$H$200,Schussbuch!$A$3:$A$200,2036,Schussbuch!$F$3:$F$200,"Krähe")</f>
        <v>0</v>
      </c>
      <c r="S15" s="71">
        <f>SUMIFS(Schussbuch!$H$3:$H$200,Schussbuch!$A$3:$A$200,2036,Schussbuch!$F$3:$F$200,"Elster")</f>
        <v>0</v>
      </c>
      <c r="T15" s="71">
        <f>SUMIFS(Schussbuch!$H$3:$H$200,Schussbuch!$A$3:$A$200,2036,Schussbuch!$F$3:$F$200,"Katze")</f>
        <v>0</v>
      </c>
      <c r="U15" s="71">
        <f>SUMIFS(Schussbuch!$H$3:$H$200,Schussbuch!$A$3:$A$200,2036,Schussbuch!$F$3:$F$200,"Hund")</f>
        <v>0</v>
      </c>
      <c r="V15" s="74">
        <f t="shared" si="1"/>
        <v>0</v>
      </c>
    </row>
    <row r="16" spans="1:22" x14ac:dyDescent="0.2">
      <c r="A16" s="73" t="s">
        <v>145</v>
      </c>
      <c r="B16" s="71">
        <f>SUMIFS(Schussbuch!$H$3:$H$200,Schussbuch!$A$3:$A$200,2037,Schussbuch!$F$3:$F$200,"Rotwild")</f>
        <v>0</v>
      </c>
      <c r="C16" s="71">
        <f>SUMIFS(Schussbuch!$H$3:$H$200,Schussbuch!$A$3:$A$200,2037,Schussbuch!$F$3:$F$200,"Schwarzwild")</f>
        <v>0</v>
      </c>
      <c r="D16" s="71">
        <f>SUMIFS(Schussbuch!$H$3:$H$200,Schussbuch!$A$3:$A$200,2037,Schussbuch!$F$3:$F$200,"Rehwild")</f>
        <v>0</v>
      </c>
      <c r="E16" s="71">
        <f>SUMIFS(Schussbuch!$H$3:$H$200,Schussbuch!$A$3:$A$200,2037,Schussbuch!$F$3:$F$200,"Gamswild")</f>
        <v>0</v>
      </c>
      <c r="F16" s="71">
        <f>SUMIFS(Schussbuch!$H$3:$H$200,Schussbuch!$A$3:$A$200,2037,Schussbuch!$F$3:$F$200,"Damwild")</f>
        <v>0</v>
      </c>
      <c r="G16" s="71">
        <f>SUMIFS(Schussbuch!$H$3:$H$200,Schussbuch!$A$3:$A$200,2037,Schussbuch!$F$3:$F$200,"Muffelwild")</f>
        <v>0</v>
      </c>
      <c r="H16" s="71">
        <f>SUMIFS(Schussbuch!$H$3:$H$200,Schussbuch!$A$3:$A$200,2037,Schussbuch!$F$3:$F$200,"Hase")</f>
        <v>0</v>
      </c>
      <c r="I16" s="71">
        <f>SUMIFS(Schussbuch!$H$3:$H$200,Schussbuch!$A$3:$A$200,2037,Schussbuch!$F$3:$F$200,"Kanin")</f>
        <v>0</v>
      </c>
      <c r="J16" s="71">
        <f>SUMIFS(Schussbuch!$H$3:$H$200,Schussbuch!$A$3:$A$200,2037,Schussbuch!$F$3:$F$200,"Fuchs")</f>
        <v>0</v>
      </c>
      <c r="K16" s="71">
        <f>SUMIFS(Schussbuch!$H$3:$H$200,Schussbuch!$A$3:$A$200,2037,Schussbuch!$F$3:$F$200,"Marder")</f>
        <v>0</v>
      </c>
      <c r="L16" s="71">
        <f>SUMIFS(Schussbuch!$H$3:$H$200,Schussbuch!$A$3:$A$200,2037,Schussbuch!$F$3:$F$200,"Fasan")</f>
        <v>0</v>
      </c>
      <c r="M16" s="71">
        <f>SUMIFS(Schussbuch!$H$3:$H$200,Schussbuch!$A$3:$A$200,2037,Schussbuch!$F$3:$F$200,"Gans")</f>
        <v>0</v>
      </c>
      <c r="N16" s="71">
        <f>SUMIFS(Schussbuch!$H$3:$H$200,Schussbuch!$A$3:$A$200,2037,Schussbuch!$F$3:$F$200,"Ente")</f>
        <v>0</v>
      </c>
      <c r="O16" s="71">
        <f>SUMIFS(Schussbuch!$H$3:$H$200,Schussbuch!$A$3:$A$200,2037,Schussbuch!$F$3:$F$200,"Schnepfe")</f>
        <v>0</v>
      </c>
      <c r="P16" s="71">
        <f>SUMIFS(Schussbuch!$H$3:$H$200,Schussbuch!$A$3:$A$200,2037,Schussbuch!$F$3:$F$200,"Ringeltaube")</f>
        <v>0</v>
      </c>
      <c r="Q16" s="71">
        <f>SUMIFS(Schussbuch!$H$3:$H$200,Schussbuch!$A$3:$A$200,2037,Schussbuch!$F$3:$F$200,"Eichelhäher")</f>
        <v>0</v>
      </c>
      <c r="R16" s="71">
        <f>SUMIFS(Schussbuch!$H$3:$H$200,Schussbuch!$A$3:$A$200,2037,Schussbuch!$F$3:$F$200,"Krähe")</f>
        <v>0</v>
      </c>
      <c r="S16" s="71">
        <f>SUMIFS(Schussbuch!$H$3:$H$200,Schussbuch!$A$3:$A$200,2037,Schussbuch!$F$3:$F$200,"Elster")</f>
        <v>0</v>
      </c>
      <c r="T16" s="71">
        <f>SUMIFS(Schussbuch!$H$3:$H$200,Schussbuch!$A$3:$A$200,2037,Schussbuch!$F$3:$F$200,"Katze")</f>
        <v>0</v>
      </c>
      <c r="U16" s="71">
        <f>SUMIFS(Schussbuch!$H$3:$H$200,Schussbuch!$A$3:$A$200,2037,Schussbuch!$F$3:$F$200,"Hund")</f>
        <v>0</v>
      </c>
      <c r="V16" s="74">
        <f t="shared" si="1"/>
        <v>0</v>
      </c>
    </row>
    <row r="17" spans="1:22" x14ac:dyDescent="0.2">
      <c r="A17" s="73" t="s">
        <v>146</v>
      </c>
      <c r="B17" s="71">
        <f>SUMIFS(Schussbuch!$H$3:$H$200,Schussbuch!$A$3:$A$200,2038,Schussbuch!$F$3:$F$200,"Rotwild")</f>
        <v>0</v>
      </c>
      <c r="C17" s="71">
        <f>SUMIFS(Schussbuch!$H$3:$H$200,Schussbuch!$A$3:$A$200,2038,Schussbuch!$F$3:$F$200,"Schwarzwild")</f>
        <v>0</v>
      </c>
      <c r="D17" s="71">
        <f>SUMIFS(Schussbuch!$H$3:$H$200,Schussbuch!$A$3:$A$200,2038,Schussbuch!$F$3:$F$200,"Rehwild")</f>
        <v>0</v>
      </c>
      <c r="E17" s="71">
        <f>SUMIFS(Schussbuch!$H$3:$H$200,Schussbuch!$A$3:$A$200,2038,Schussbuch!$F$3:$F$200,"Gamswild")</f>
        <v>0</v>
      </c>
      <c r="F17" s="71">
        <f>SUMIFS(Schussbuch!$H$3:$H$200,Schussbuch!$A$3:$A$200,2038,Schussbuch!$F$3:$F$200,"Damwild")</f>
        <v>0</v>
      </c>
      <c r="G17" s="71">
        <f>SUMIFS(Schussbuch!$H$3:$H$200,Schussbuch!$A$3:$A$200,2038,Schussbuch!$F$3:$F$200,"Muffelwild")</f>
        <v>0</v>
      </c>
      <c r="H17" s="71">
        <f>SUMIFS(Schussbuch!$H$3:$H$200,Schussbuch!$A$3:$A$200,2038,Schussbuch!$F$3:$F$200,"Hase")</f>
        <v>0</v>
      </c>
      <c r="I17" s="71">
        <f>SUMIFS(Schussbuch!$H$3:$H$200,Schussbuch!$A$3:$A$200,2038,Schussbuch!$F$3:$F$200,"Kanin")</f>
        <v>0</v>
      </c>
      <c r="J17" s="71">
        <f>SUMIFS(Schussbuch!$H$3:$H$200,Schussbuch!$A$3:$A$200,2038,Schussbuch!$F$3:$F$200,"Fuchs")</f>
        <v>0</v>
      </c>
      <c r="K17" s="71">
        <f>SUMIFS(Schussbuch!$H$3:$H$200,Schussbuch!$A$3:$A$200,2038,Schussbuch!$F$3:$F$200,"Marder")</f>
        <v>0</v>
      </c>
      <c r="L17" s="71">
        <f>SUMIFS(Schussbuch!$H$3:$H$200,Schussbuch!$A$3:$A$200,2038,Schussbuch!$F$3:$F$200,"Fasan")</f>
        <v>0</v>
      </c>
      <c r="M17" s="71">
        <f>SUMIFS(Schussbuch!$H$3:$H$200,Schussbuch!$A$3:$A$200,2038,Schussbuch!$F$3:$F$200,"Gans")</f>
        <v>0</v>
      </c>
      <c r="N17" s="71">
        <f>SUMIFS(Schussbuch!$H$3:$H$200,Schussbuch!$A$3:$A$200,2038,Schussbuch!$F$3:$F$200,"Ente")</f>
        <v>0</v>
      </c>
      <c r="O17" s="71">
        <f>SUMIFS(Schussbuch!$H$3:$H$200,Schussbuch!$A$3:$A$200,2038,Schussbuch!$F$3:$F$200,"Schnepfe")</f>
        <v>0</v>
      </c>
      <c r="P17" s="71">
        <f>SUMIFS(Schussbuch!$H$3:$H$200,Schussbuch!$A$3:$A$200,2038,Schussbuch!$F$3:$F$200,"Ringeltaube")</f>
        <v>0</v>
      </c>
      <c r="Q17" s="71">
        <f>SUMIFS(Schussbuch!$H$3:$H$200,Schussbuch!$A$3:$A$200,2038,Schussbuch!$F$3:$F$200,"Eichelhäher")</f>
        <v>0</v>
      </c>
      <c r="R17" s="71">
        <f>SUMIFS(Schussbuch!$H$3:$H$200,Schussbuch!$A$3:$A$200,2038,Schussbuch!$F$3:$F$200,"Krähe")</f>
        <v>0</v>
      </c>
      <c r="S17" s="71">
        <f>SUMIFS(Schussbuch!$H$3:$H$200,Schussbuch!$A$3:$A$200,2038,Schussbuch!$F$3:$F$200,"Elster")</f>
        <v>0</v>
      </c>
      <c r="T17" s="71">
        <f>SUMIFS(Schussbuch!$H$3:$H$200,Schussbuch!$A$3:$A$200,2038,Schussbuch!$F$3:$F$200,"Katze")</f>
        <v>0</v>
      </c>
      <c r="U17" s="71">
        <f>SUMIFS(Schussbuch!$H$3:$H$200,Schussbuch!$A$3:$A$200,2038,Schussbuch!$F$3:$F$200,"Hund")</f>
        <v>0</v>
      </c>
      <c r="V17" s="74">
        <f t="shared" si="1"/>
        <v>0</v>
      </c>
    </row>
    <row r="18" spans="1:22" x14ac:dyDescent="0.2">
      <c r="A18" s="73" t="s">
        <v>147</v>
      </c>
      <c r="B18" s="71">
        <f>SUMIFS(Schussbuch!$H$3:$H$200,Schussbuch!$A$3:$A$200,2039,Schussbuch!$F$3:$F$200,"Rotwild")</f>
        <v>0</v>
      </c>
      <c r="C18" s="71">
        <f>SUMIFS(Schussbuch!$H$3:$H$200,Schussbuch!$A$3:$A$200,2039,Schussbuch!$F$3:$F$200,"Schwarzwild")</f>
        <v>0</v>
      </c>
      <c r="D18" s="71">
        <f>SUMIFS(Schussbuch!$H$3:$H$200,Schussbuch!$A$3:$A$200,2039,Schussbuch!$F$3:$F$200,"Rehwild")</f>
        <v>0</v>
      </c>
      <c r="E18" s="71">
        <f>SUMIFS(Schussbuch!$H$3:$H$200,Schussbuch!$A$3:$A$200,2039,Schussbuch!$F$3:$F$200,"Gamswild")</f>
        <v>0</v>
      </c>
      <c r="F18" s="71">
        <f>SUMIFS(Schussbuch!$H$3:$H$200,Schussbuch!$A$3:$A$200,2039,Schussbuch!$F$3:$F$200,"Damwild")</f>
        <v>0</v>
      </c>
      <c r="G18" s="71">
        <f>SUMIFS(Schussbuch!$H$3:$H$200,Schussbuch!$A$3:$A$200,2039,Schussbuch!$F$3:$F$200,"Muffelwild")</f>
        <v>0</v>
      </c>
      <c r="H18" s="71">
        <f>SUMIFS(Schussbuch!$H$3:$H$200,Schussbuch!$A$3:$A$200,2039,Schussbuch!$F$3:$F$200,"Hase")</f>
        <v>0</v>
      </c>
      <c r="I18" s="71">
        <f>SUMIFS(Schussbuch!$H$3:$H$200,Schussbuch!$A$3:$A$200,2039,Schussbuch!$F$3:$F$200,"Kanin")</f>
        <v>0</v>
      </c>
      <c r="J18" s="71">
        <f>SUMIFS(Schussbuch!$H$3:$H$200,Schussbuch!$A$3:$A$200,2039,Schussbuch!$F$3:$F$200,"Fuchs")</f>
        <v>0</v>
      </c>
      <c r="K18" s="71">
        <f>SUMIFS(Schussbuch!$H$3:$H$200,Schussbuch!$A$3:$A$200,2039,Schussbuch!$F$3:$F$200,"Marder")</f>
        <v>0</v>
      </c>
      <c r="L18" s="71">
        <f>SUMIFS(Schussbuch!$H$3:$H$200,Schussbuch!$A$3:$A$200,2039,Schussbuch!$F$3:$F$200,"Fasan")</f>
        <v>0</v>
      </c>
      <c r="M18" s="71">
        <f>SUMIFS(Schussbuch!$H$3:$H$200,Schussbuch!$A$3:$A$200,2039,Schussbuch!$F$3:$F$200,"Gans")</f>
        <v>0</v>
      </c>
      <c r="N18" s="71">
        <f>SUMIFS(Schussbuch!$H$3:$H$200,Schussbuch!$A$3:$A$200,2039,Schussbuch!$F$3:$F$200,"Ente")</f>
        <v>0</v>
      </c>
      <c r="O18" s="71">
        <f>SUMIFS(Schussbuch!$H$3:$H$200,Schussbuch!$A$3:$A$200,2039,Schussbuch!$F$3:$F$200,"Schnepfe")</f>
        <v>0</v>
      </c>
      <c r="P18" s="71">
        <f>SUMIFS(Schussbuch!$H$3:$H$200,Schussbuch!$A$3:$A$200,2039,Schussbuch!$F$3:$F$200,"Ringeltaube")</f>
        <v>0</v>
      </c>
      <c r="Q18" s="71">
        <f>SUMIFS(Schussbuch!$H$3:$H$200,Schussbuch!$A$3:$A$200,2039,Schussbuch!$F$3:$F$200,"Eichelhäher")</f>
        <v>0</v>
      </c>
      <c r="R18" s="71">
        <f>SUMIFS(Schussbuch!$H$3:$H$200,Schussbuch!$A$3:$A$200,2039,Schussbuch!$F$3:$F$200,"Krähe")</f>
        <v>0</v>
      </c>
      <c r="S18" s="71">
        <f>SUMIFS(Schussbuch!$H$3:$H$200,Schussbuch!$A$3:$A$200,2039,Schussbuch!$F$3:$F$200,"Elster")</f>
        <v>0</v>
      </c>
      <c r="T18" s="71">
        <f>SUMIFS(Schussbuch!$H$3:$H$200,Schussbuch!$A$3:$A$200,2039,Schussbuch!$F$3:$F$200,"Katze")</f>
        <v>0</v>
      </c>
      <c r="U18" s="71">
        <f>SUMIFS(Schussbuch!$H$3:$H$200,Schussbuch!$A$3:$A$200,2039,Schussbuch!$F$3:$F$200,"Hund")</f>
        <v>0</v>
      </c>
      <c r="V18" s="74">
        <f t="shared" si="1"/>
        <v>0</v>
      </c>
    </row>
    <row r="19" spans="1:22" x14ac:dyDescent="0.2">
      <c r="A19" s="73" t="s">
        <v>148</v>
      </c>
      <c r="B19" s="71">
        <f>SUMIFS(Schussbuch!$H$3:$H$200,Schussbuch!$A$3:$A$200,2040,Schussbuch!$F$3:$F$200,"Rotwild")</f>
        <v>0</v>
      </c>
      <c r="C19" s="71">
        <f>SUMIFS(Schussbuch!$H$3:$H$200,Schussbuch!$A$3:$A$200,2040,Schussbuch!$F$3:$F$200,"Schwarzwild")</f>
        <v>0</v>
      </c>
      <c r="D19" s="71">
        <f>SUMIFS(Schussbuch!$H$3:$H$200,Schussbuch!$A$3:$A$200,2040,Schussbuch!$F$3:$F$200,"Rehwild")</f>
        <v>0</v>
      </c>
      <c r="E19" s="71">
        <f>SUMIFS(Schussbuch!$H$3:$H$200,Schussbuch!$A$3:$A$200,2040,Schussbuch!$F$3:$F$200,"Gamswild")</f>
        <v>0</v>
      </c>
      <c r="F19" s="71">
        <f>SUMIFS(Schussbuch!$H$3:$H$200,Schussbuch!$A$3:$A$200,2040,Schussbuch!$F$3:$F$200,"Damwild")</f>
        <v>0</v>
      </c>
      <c r="G19" s="71">
        <f>SUMIFS(Schussbuch!$H$3:$H$200,Schussbuch!$A$3:$A$200,2040,Schussbuch!$F$3:$F$200,"Muffelwild")</f>
        <v>0</v>
      </c>
      <c r="H19" s="71">
        <f>SUMIFS(Schussbuch!$H$3:$H$200,Schussbuch!$A$3:$A$200,2040,Schussbuch!$F$3:$F$200,"Hase")</f>
        <v>0</v>
      </c>
      <c r="I19" s="71">
        <f>SUMIFS(Schussbuch!$H$3:$H$200,Schussbuch!$A$3:$A$200,2040,Schussbuch!$F$3:$F$200,"Kanin")</f>
        <v>0</v>
      </c>
      <c r="J19" s="71">
        <f>SUMIFS(Schussbuch!$H$3:$H$200,Schussbuch!$A$3:$A$200,2040,Schussbuch!$F$3:$F$200,"Fuchs")</f>
        <v>0</v>
      </c>
      <c r="K19" s="71">
        <f>SUMIFS(Schussbuch!$H$3:$H$200,Schussbuch!$A$3:$A$200,2040,Schussbuch!$F$3:$F$200,"Marder")</f>
        <v>0</v>
      </c>
      <c r="L19" s="71">
        <f>SUMIFS(Schussbuch!$H$3:$H$200,Schussbuch!$A$3:$A$200,2040,Schussbuch!$F$3:$F$200,"Fasan")</f>
        <v>0</v>
      </c>
      <c r="M19" s="71">
        <f>SUMIFS(Schussbuch!$H$3:$H$200,Schussbuch!$A$3:$A$200,2040,Schussbuch!$F$3:$F$200,"Gans")</f>
        <v>0</v>
      </c>
      <c r="N19" s="71">
        <f>SUMIFS(Schussbuch!$H$3:$H$200,Schussbuch!$A$3:$A$200,2040,Schussbuch!$F$3:$F$200,"Ente")</f>
        <v>0</v>
      </c>
      <c r="O19" s="71">
        <f>SUMIFS(Schussbuch!$H$3:$H$200,Schussbuch!$A$3:$A$200,2040,Schussbuch!$F$3:$F$200,"Schnepfe")</f>
        <v>0</v>
      </c>
      <c r="P19" s="71">
        <f>SUMIFS(Schussbuch!$H$3:$H$200,Schussbuch!$A$3:$A$200,2040,Schussbuch!$F$3:$F$200,"Ringeltaube")</f>
        <v>0</v>
      </c>
      <c r="Q19" s="71">
        <f>SUMIFS(Schussbuch!$H$3:$H$200,Schussbuch!$A$3:$A$200,2040,Schussbuch!$F$3:$F$200,"Eichelhäher")</f>
        <v>0</v>
      </c>
      <c r="R19" s="71">
        <f>SUMIFS(Schussbuch!$H$3:$H$200,Schussbuch!$A$3:$A$200,2040,Schussbuch!$F$3:$F$200,"Krähe")</f>
        <v>0</v>
      </c>
      <c r="S19" s="71">
        <f>SUMIFS(Schussbuch!$H$3:$H$200,Schussbuch!$A$3:$A$200,2040,Schussbuch!$F$3:$F$200,"Elster")</f>
        <v>0</v>
      </c>
      <c r="T19" s="71">
        <f>SUMIFS(Schussbuch!$H$3:$H$200,Schussbuch!$A$3:$A$200,2040,Schussbuch!$F$3:$F$200,"Katze")</f>
        <v>0</v>
      </c>
      <c r="U19" s="71">
        <f>SUMIFS(Schussbuch!$H$3:$H$200,Schussbuch!$A$3:$A$200,2040,Schussbuch!$F$3:$F$200,"Hund")</f>
        <v>0</v>
      </c>
      <c r="V19" s="74">
        <f t="shared" si="1"/>
        <v>0</v>
      </c>
    </row>
    <row r="20" spans="1:22" x14ac:dyDescent="0.2">
      <c r="A20" s="73" t="s">
        <v>149</v>
      </c>
      <c r="B20" s="71">
        <f>SUMIFS(Schussbuch!$H$3:$H$200,Schussbuch!$A$3:$A$200,2041,Schussbuch!$F$3:$F$200,"Rotwild")</f>
        <v>0</v>
      </c>
      <c r="C20" s="71">
        <f>SUMIFS(Schussbuch!$H$3:$H$200,Schussbuch!$A$3:$A$200,2041,Schussbuch!$F$3:$F$200,"Schwarzwild")</f>
        <v>0</v>
      </c>
      <c r="D20" s="71">
        <f>SUMIFS(Schussbuch!$H$3:$H$200,Schussbuch!$A$3:$A$200,2041,Schussbuch!$F$3:$F$200,"Rehwild")</f>
        <v>0</v>
      </c>
      <c r="E20" s="71">
        <f>SUMIFS(Schussbuch!$H$3:$H$200,Schussbuch!$A$3:$A$200,2041,Schussbuch!$F$3:$F$200,"Gamswild")</f>
        <v>0</v>
      </c>
      <c r="F20" s="71">
        <f>SUMIFS(Schussbuch!$H$3:$H$200,Schussbuch!$A$3:$A$200,2041,Schussbuch!$F$3:$F$200,"Damwild")</f>
        <v>0</v>
      </c>
      <c r="G20" s="71">
        <f>SUMIFS(Schussbuch!$H$3:$H$200,Schussbuch!$A$3:$A$200,2041,Schussbuch!$F$3:$F$200,"Muffelwild")</f>
        <v>0</v>
      </c>
      <c r="H20" s="71">
        <f>SUMIFS(Schussbuch!$H$3:$H$200,Schussbuch!$A$3:$A$200,2041,Schussbuch!$F$3:$F$200,"Hase")</f>
        <v>0</v>
      </c>
      <c r="I20" s="71">
        <f>SUMIFS(Schussbuch!$H$3:$H$200,Schussbuch!$A$3:$A$200,2041,Schussbuch!$F$3:$F$200,"Kanin")</f>
        <v>0</v>
      </c>
      <c r="J20" s="71">
        <f>SUMIFS(Schussbuch!$H$3:$H$200,Schussbuch!$A$3:$A$200,2041,Schussbuch!$F$3:$F$200,"Fuchs")</f>
        <v>0</v>
      </c>
      <c r="K20" s="71">
        <f>SUMIFS(Schussbuch!$H$3:$H$200,Schussbuch!$A$3:$A$200,2041,Schussbuch!$F$3:$F$200,"Marder")</f>
        <v>0</v>
      </c>
      <c r="L20" s="71">
        <f>SUMIFS(Schussbuch!$H$3:$H$200,Schussbuch!$A$3:$A$200,2041,Schussbuch!$F$3:$F$200,"Fasan")</f>
        <v>0</v>
      </c>
      <c r="M20" s="71">
        <f>SUMIFS(Schussbuch!$H$3:$H$200,Schussbuch!$A$3:$A$200,2041,Schussbuch!$F$3:$F$200,"Gans")</f>
        <v>0</v>
      </c>
      <c r="N20" s="71">
        <f>SUMIFS(Schussbuch!$H$3:$H$200,Schussbuch!$A$3:$A$200,2041,Schussbuch!$F$3:$F$200,"Ente")</f>
        <v>0</v>
      </c>
      <c r="O20" s="71">
        <f>SUMIFS(Schussbuch!$H$3:$H$200,Schussbuch!$A$3:$A$200,2041,Schussbuch!$F$3:$F$200,"Schnepfe")</f>
        <v>0</v>
      </c>
      <c r="P20" s="71">
        <f>SUMIFS(Schussbuch!$H$3:$H$200,Schussbuch!$A$3:$A$200,2041,Schussbuch!$F$3:$F$200,"Ringeltaube")</f>
        <v>0</v>
      </c>
      <c r="Q20" s="71">
        <f>SUMIFS(Schussbuch!$H$3:$H$200,Schussbuch!$A$3:$A$200,2041,Schussbuch!$F$3:$F$200,"Eichelhäher")</f>
        <v>0</v>
      </c>
      <c r="R20" s="71">
        <f>SUMIFS(Schussbuch!$H$3:$H$200,Schussbuch!$A$3:$A$200,2041,Schussbuch!$F$3:$F$200,"Krähe")</f>
        <v>0</v>
      </c>
      <c r="S20" s="71">
        <f>SUMIFS(Schussbuch!$H$3:$H$200,Schussbuch!$A$3:$A$200,2041,Schussbuch!$F$3:$F$200,"Elster")</f>
        <v>0</v>
      </c>
      <c r="T20" s="71">
        <f>SUMIFS(Schussbuch!$H$3:$H$200,Schussbuch!$A$3:$A$200,2041,Schussbuch!$F$3:$F$200,"Katze")</f>
        <v>0</v>
      </c>
      <c r="U20" s="71">
        <f>SUMIFS(Schussbuch!$H$3:$H$200,Schussbuch!$A$3:$A$200,2041,Schussbuch!$F$3:$F$200,"Hund")</f>
        <v>0</v>
      </c>
      <c r="V20" s="74">
        <f t="shared" si="1"/>
        <v>0</v>
      </c>
    </row>
    <row r="21" spans="1:22" x14ac:dyDescent="0.2">
      <c r="A21" s="73" t="s">
        <v>150</v>
      </c>
      <c r="B21" s="71">
        <f>SUMIFS(Schussbuch!$H$3:$H$200,Schussbuch!$A$3:$A$200,2042,Schussbuch!$F$3:$F$200,"Rotwild")</f>
        <v>0</v>
      </c>
      <c r="C21" s="71">
        <f>SUMIFS(Schussbuch!$H$3:$H$200,Schussbuch!$A$3:$A$200,2042,Schussbuch!$F$3:$F$200,"Schwarzwild")</f>
        <v>0</v>
      </c>
      <c r="D21" s="71">
        <f>SUMIFS(Schussbuch!$H$3:$H$200,Schussbuch!$A$3:$A$200,2042,Schussbuch!$F$3:$F$200,"Rehwild")</f>
        <v>0</v>
      </c>
      <c r="E21" s="71">
        <f>SUMIFS(Schussbuch!$H$3:$H$200,Schussbuch!$A$3:$A$200,2042,Schussbuch!$F$3:$F$200,"Gamswild")</f>
        <v>0</v>
      </c>
      <c r="F21" s="71">
        <f>SUMIFS(Schussbuch!$H$3:$H$200,Schussbuch!$A$3:$A$200,2042,Schussbuch!$F$3:$F$200,"Damwild")</f>
        <v>0</v>
      </c>
      <c r="G21" s="71">
        <f>SUMIFS(Schussbuch!$H$3:$H$200,Schussbuch!$A$3:$A$200,2042,Schussbuch!$F$3:$F$200,"Muffelwild")</f>
        <v>0</v>
      </c>
      <c r="H21" s="71">
        <f>SUMIFS(Schussbuch!$H$3:$H$200,Schussbuch!$A$3:$A$200,2042,Schussbuch!$F$3:$F$200,"Hase")</f>
        <v>0</v>
      </c>
      <c r="I21" s="71">
        <f>SUMIFS(Schussbuch!$H$3:$H$200,Schussbuch!$A$3:$A$200,2042,Schussbuch!$F$3:$F$200,"Kanin")</f>
        <v>0</v>
      </c>
      <c r="J21" s="71">
        <f>SUMIFS(Schussbuch!$H$3:$H$200,Schussbuch!$A$3:$A$200,2042,Schussbuch!$F$3:$F$200,"Fuchs")</f>
        <v>0</v>
      </c>
      <c r="K21" s="71">
        <f>SUMIFS(Schussbuch!$H$3:$H$200,Schussbuch!$A$3:$A$200,2042,Schussbuch!$F$3:$F$200,"Marder")</f>
        <v>0</v>
      </c>
      <c r="L21" s="71">
        <f>SUMIFS(Schussbuch!$H$3:$H$200,Schussbuch!$A$3:$A$200,2042,Schussbuch!$F$3:$F$200,"Fasan")</f>
        <v>0</v>
      </c>
      <c r="M21" s="71">
        <f>SUMIFS(Schussbuch!$H$3:$H$200,Schussbuch!$A$3:$A$200,2042,Schussbuch!$F$3:$F$200,"Gans")</f>
        <v>0</v>
      </c>
      <c r="N21" s="71">
        <f>SUMIFS(Schussbuch!$H$3:$H$200,Schussbuch!$A$3:$A$200,2042,Schussbuch!$F$3:$F$200,"Ente")</f>
        <v>0</v>
      </c>
      <c r="O21" s="71">
        <f>SUMIFS(Schussbuch!$H$3:$H$200,Schussbuch!$A$3:$A$200,2042,Schussbuch!$F$3:$F$200,"Schnepfe")</f>
        <v>0</v>
      </c>
      <c r="P21" s="71">
        <f>SUMIFS(Schussbuch!$H$3:$H$200,Schussbuch!$A$3:$A$200,2042,Schussbuch!$F$3:$F$200,"Ringeltaube")</f>
        <v>0</v>
      </c>
      <c r="Q21" s="71">
        <f>SUMIFS(Schussbuch!$H$3:$H$200,Schussbuch!$A$3:$A$200,2042,Schussbuch!$F$3:$F$200,"Eichelhäher")</f>
        <v>0</v>
      </c>
      <c r="R21" s="71">
        <f>SUMIFS(Schussbuch!$H$3:$H$200,Schussbuch!$A$3:$A$200,2042,Schussbuch!$F$3:$F$200,"Krähe")</f>
        <v>0</v>
      </c>
      <c r="S21" s="71">
        <f>SUMIFS(Schussbuch!$H$3:$H$200,Schussbuch!$A$3:$A$200,2042,Schussbuch!$F$3:$F$200,"Elster")</f>
        <v>0</v>
      </c>
      <c r="T21" s="71">
        <f>SUMIFS(Schussbuch!$H$3:$H$200,Schussbuch!$A$3:$A$200,2042,Schussbuch!$F$3:$F$200,"Katze")</f>
        <v>0</v>
      </c>
      <c r="U21" s="71">
        <f>SUMIFS(Schussbuch!$H$3:$H$200,Schussbuch!$A$3:$A$200,2042,Schussbuch!$F$3:$F$200,"Hund")</f>
        <v>0</v>
      </c>
      <c r="V21" s="74">
        <f t="shared" si="1"/>
        <v>0</v>
      </c>
    </row>
    <row r="22" spans="1:22" x14ac:dyDescent="0.2">
      <c r="A22" s="73" t="s">
        <v>151</v>
      </c>
      <c r="B22" s="71">
        <f>SUMIFS(Schussbuch!$H$3:$H$200,Schussbuch!$A$3:$A$200,2043,Schussbuch!$F$3:$F$200,"Rotwild")</f>
        <v>0</v>
      </c>
      <c r="C22" s="71">
        <f>SUMIFS(Schussbuch!$H$3:$H$200,Schussbuch!$A$3:$A$200,2043,Schussbuch!$F$3:$F$200,"Schwarzwild")</f>
        <v>0</v>
      </c>
      <c r="D22" s="71">
        <f>SUMIFS(Schussbuch!$H$3:$H$200,Schussbuch!$A$3:$A$200,2043,Schussbuch!$F$3:$F$200,"Rehwild")</f>
        <v>0</v>
      </c>
      <c r="E22" s="71">
        <f>SUMIFS(Schussbuch!$H$3:$H$200,Schussbuch!$A$3:$A$200,2043,Schussbuch!$F$3:$F$200,"Gamswild")</f>
        <v>0</v>
      </c>
      <c r="F22" s="71">
        <f>SUMIFS(Schussbuch!$H$3:$H$200,Schussbuch!$A$3:$A$200,2043,Schussbuch!$F$3:$F$200,"Damwild")</f>
        <v>0</v>
      </c>
      <c r="G22" s="71">
        <f>SUMIFS(Schussbuch!$H$3:$H$200,Schussbuch!$A$3:$A$200,2043,Schussbuch!$F$3:$F$200,"Muffelwild")</f>
        <v>0</v>
      </c>
      <c r="H22" s="71">
        <f>SUMIFS(Schussbuch!$H$3:$H$200,Schussbuch!$A$3:$A$200,2043,Schussbuch!$F$3:$F$200,"Hase")</f>
        <v>0</v>
      </c>
      <c r="I22" s="71">
        <f>SUMIFS(Schussbuch!$H$3:$H$200,Schussbuch!$A$3:$A$200,2043,Schussbuch!$F$3:$F$200,"Kanin")</f>
        <v>0</v>
      </c>
      <c r="J22" s="71">
        <f>SUMIFS(Schussbuch!$H$3:$H$200,Schussbuch!$A$3:$A$200,2043,Schussbuch!$F$3:$F$200,"Fuchs")</f>
        <v>0</v>
      </c>
      <c r="K22" s="71">
        <f>SUMIFS(Schussbuch!$H$3:$H$200,Schussbuch!$A$3:$A$200,2043,Schussbuch!$F$3:$F$200,"Marder")</f>
        <v>0</v>
      </c>
      <c r="L22" s="71">
        <f>SUMIFS(Schussbuch!$H$3:$H$200,Schussbuch!$A$3:$A$200,2043,Schussbuch!$F$3:$F$200,"Fasan")</f>
        <v>0</v>
      </c>
      <c r="M22" s="71">
        <f>SUMIFS(Schussbuch!$H$3:$H$200,Schussbuch!$A$3:$A$200,2043,Schussbuch!$F$3:$F$200,"Gans")</f>
        <v>0</v>
      </c>
      <c r="N22" s="71">
        <f>SUMIFS(Schussbuch!$H$3:$H$200,Schussbuch!$A$3:$A$200,2043,Schussbuch!$F$3:$F$200,"Ente")</f>
        <v>0</v>
      </c>
      <c r="O22" s="71">
        <f>SUMIFS(Schussbuch!$H$3:$H$200,Schussbuch!$A$3:$A$200,2043,Schussbuch!$F$3:$F$200,"Schnepfe")</f>
        <v>0</v>
      </c>
      <c r="P22" s="71">
        <f>SUMIFS(Schussbuch!$H$3:$H$200,Schussbuch!$A$3:$A$200,2043,Schussbuch!$F$3:$F$200,"Ringeltaube")</f>
        <v>0</v>
      </c>
      <c r="Q22" s="71">
        <f>SUMIFS(Schussbuch!$H$3:$H$200,Schussbuch!$A$3:$A$200,2043,Schussbuch!$F$3:$F$200,"Eichelhäher")</f>
        <v>0</v>
      </c>
      <c r="R22" s="71">
        <f>SUMIFS(Schussbuch!$H$3:$H$200,Schussbuch!$A$3:$A$200,2043,Schussbuch!$F$3:$F$200,"Krähe")</f>
        <v>0</v>
      </c>
      <c r="S22" s="71">
        <f>SUMIFS(Schussbuch!$H$3:$H$200,Schussbuch!$A$3:$A$200,2043,Schussbuch!$F$3:$F$200,"Elster")</f>
        <v>0</v>
      </c>
      <c r="T22" s="71">
        <f>SUMIFS(Schussbuch!$H$3:$H$200,Schussbuch!$A$3:$A$200,2043,Schussbuch!$F$3:$F$200,"Katze")</f>
        <v>0</v>
      </c>
      <c r="U22" s="71">
        <f>SUMIFS(Schussbuch!$H$3:$H$200,Schussbuch!$A$3:$A$200,2043,Schussbuch!$F$3:$F$200,"Hund")</f>
        <v>0</v>
      </c>
      <c r="V22" s="74">
        <f t="shared" si="1"/>
        <v>0</v>
      </c>
    </row>
    <row r="23" spans="1:22" x14ac:dyDescent="0.2">
      <c r="A23" s="73" t="s">
        <v>152</v>
      </c>
      <c r="B23" s="71">
        <f>SUMIFS(Schussbuch!$H$3:$H$200,Schussbuch!$A$3:$A$200,2044,Schussbuch!$F$3:$F$200,"Rotwild")</f>
        <v>0</v>
      </c>
      <c r="C23" s="71">
        <f>SUMIFS(Schussbuch!$H$3:$H$200,Schussbuch!$A$3:$A$200,2044,Schussbuch!$F$3:$F$200,"Schwarzwild")</f>
        <v>0</v>
      </c>
      <c r="D23" s="71">
        <f>SUMIFS(Schussbuch!$H$3:$H$200,Schussbuch!$A$3:$A$200,2044,Schussbuch!$F$3:$F$200,"Rehwild")</f>
        <v>0</v>
      </c>
      <c r="E23" s="71">
        <f>SUMIFS(Schussbuch!$H$3:$H$200,Schussbuch!$A$3:$A$200,2044,Schussbuch!$F$3:$F$200,"Gamswild")</f>
        <v>0</v>
      </c>
      <c r="F23" s="71">
        <f>SUMIFS(Schussbuch!$H$3:$H$200,Schussbuch!$A$3:$A$200,2044,Schussbuch!$F$3:$F$200,"Damwild")</f>
        <v>0</v>
      </c>
      <c r="G23" s="71">
        <f>SUMIFS(Schussbuch!$H$3:$H$200,Schussbuch!$A$3:$A$200,2044,Schussbuch!$F$3:$F$200,"Muffelwild")</f>
        <v>0</v>
      </c>
      <c r="H23" s="71">
        <f>SUMIFS(Schussbuch!$H$3:$H$200,Schussbuch!$A$3:$A$200,2044,Schussbuch!$F$3:$F$200,"Hase")</f>
        <v>0</v>
      </c>
      <c r="I23" s="71">
        <f>SUMIFS(Schussbuch!$H$3:$H$200,Schussbuch!$A$3:$A$200,2044,Schussbuch!$F$3:$F$200,"Kanin")</f>
        <v>0</v>
      </c>
      <c r="J23" s="71">
        <f>SUMIFS(Schussbuch!$H$3:$H$200,Schussbuch!$A$3:$A$200,2044,Schussbuch!$F$3:$F$200,"Fuchs")</f>
        <v>0</v>
      </c>
      <c r="K23" s="71">
        <f>SUMIFS(Schussbuch!$H$3:$H$200,Schussbuch!$A$3:$A$200,2044,Schussbuch!$F$3:$F$200,"Marder")</f>
        <v>0</v>
      </c>
      <c r="L23" s="71">
        <f>SUMIFS(Schussbuch!$H$3:$H$200,Schussbuch!$A$3:$A$200,2044,Schussbuch!$F$3:$F$200,"Fasan")</f>
        <v>0</v>
      </c>
      <c r="M23" s="71">
        <f>SUMIFS(Schussbuch!$H$3:$H$200,Schussbuch!$A$3:$A$200,2044,Schussbuch!$F$3:$F$200,"Gans")</f>
        <v>0</v>
      </c>
      <c r="N23" s="71">
        <f>SUMIFS(Schussbuch!$H$3:$H$200,Schussbuch!$A$3:$A$200,2044,Schussbuch!$F$3:$F$200,"Ente")</f>
        <v>0</v>
      </c>
      <c r="O23" s="71">
        <f>SUMIFS(Schussbuch!$H$3:$H$200,Schussbuch!$A$3:$A$200,2044,Schussbuch!$F$3:$F$200,"Schnepfe")</f>
        <v>0</v>
      </c>
      <c r="P23" s="71">
        <f>SUMIFS(Schussbuch!$H$3:$H$200,Schussbuch!$A$3:$A$200,2044,Schussbuch!$F$3:$F$200,"Ringeltaube")</f>
        <v>0</v>
      </c>
      <c r="Q23" s="71">
        <f>SUMIFS(Schussbuch!$H$3:$H$200,Schussbuch!$A$3:$A$200,2044,Schussbuch!$F$3:$F$200,"Eichelhäher")</f>
        <v>0</v>
      </c>
      <c r="R23" s="71">
        <f>SUMIFS(Schussbuch!$H$3:$H$200,Schussbuch!$A$3:$A$200,2044,Schussbuch!$F$3:$F$200,"Krähe")</f>
        <v>0</v>
      </c>
      <c r="S23" s="71">
        <f>SUMIFS(Schussbuch!$H$3:$H$200,Schussbuch!$A$3:$A$200,2044,Schussbuch!$F$3:$F$200,"Elster")</f>
        <v>0</v>
      </c>
      <c r="T23" s="71">
        <f>SUMIFS(Schussbuch!$H$3:$H$200,Schussbuch!$A$3:$A$200,2044,Schussbuch!$F$3:$F$200,"Katze")</f>
        <v>0</v>
      </c>
      <c r="U23" s="71">
        <f>SUMIFS(Schussbuch!$H$3:$H$200,Schussbuch!$A$3:$A$200,2044,Schussbuch!$F$3:$F$200,"Hund")</f>
        <v>0</v>
      </c>
      <c r="V23" s="74">
        <f t="shared" si="1"/>
        <v>0</v>
      </c>
    </row>
    <row r="24" spans="1:22" x14ac:dyDescent="0.2">
      <c r="A24" s="73" t="s">
        <v>153</v>
      </c>
      <c r="B24" s="71">
        <f>SUMIFS(Schussbuch!$H$3:$H$200,Schussbuch!$A$3:$A$200,2045,Schussbuch!$F$3:$F$200,"Rotwild")</f>
        <v>0</v>
      </c>
      <c r="C24" s="71">
        <f>SUMIFS(Schussbuch!$H$3:$H$200,Schussbuch!$A$3:$A$200,2045,Schussbuch!$F$3:$F$200,"Schwarzwild")</f>
        <v>0</v>
      </c>
      <c r="D24" s="71">
        <f>SUMIFS(Schussbuch!$H$3:$H$200,Schussbuch!$A$3:$A$200,2045,Schussbuch!$F$3:$F$200,"Rehwild")</f>
        <v>0</v>
      </c>
      <c r="E24" s="71">
        <f>SUMIFS(Schussbuch!$H$3:$H$200,Schussbuch!$A$3:$A$200,2045,Schussbuch!$F$3:$F$200,"Gamswild")</f>
        <v>0</v>
      </c>
      <c r="F24" s="71">
        <f>SUMIFS(Schussbuch!$H$3:$H$200,Schussbuch!$A$3:$A$200,2045,Schussbuch!$F$3:$F$200,"Damwild")</f>
        <v>0</v>
      </c>
      <c r="G24" s="71">
        <f>SUMIFS(Schussbuch!$H$3:$H$200,Schussbuch!$A$3:$A$200,2045,Schussbuch!$F$3:$F$200,"Muffelwild")</f>
        <v>0</v>
      </c>
      <c r="H24" s="71">
        <f>SUMIFS(Schussbuch!$H$3:$H$200,Schussbuch!$A$3:$A$200,2045,Schussbuch!$F$3:$F$200,"Hase")</f>
        <v>0</v>
      </c>
      <c r="I24" s="71">
        <f>SUMIFS(Schussbuch!$H$3:$H$200,Schussbuch!$A$3:$A$200,2045,Schussbuch!$F$3:$F$200,"Kanin")</f>
        <v>0</v>
      </c>
      <c r="J24" s="71">
        <f>SUMIFS(Schussbuch!$H$3:$H$200,Schussbuch!$A$3:$A$200,2045,Schussbuch!$F$3:$F$200,"Fuchs")</f>
        <v>0</v>
      </c>
      <c r="K24" s="71">
        <f>SUMIFS(Schussbuch!$H$3:$H$200,Schussbuch!$A$3:$A$200,2045,Schussbuch!$F$3:$F$200,"Marder")</f>
        <v>0</v>
      </c>
      <c r="L24" s="71">
        <f>SUMIFS(Schussbuch!$H$3:$H$200,Schussbuch!$A$3:$A$200,2045,Schussbuch!$F$3:$F$200,"Fasan")</f>
        <v>0</v>
      </c>
      <c r="M24" s="71">
        <f>SUMIFS(Schussbuch!$H$3:$H$200,Schussbuch!$A$3:$A$200,2045,Schussbuch!$F$3:$F$200,"Gans")</f>
        <v>0</v>
      </c>
      <c r="N24" s="71">
        <f>SUMIFS(Schussbuch!$H$3:$H$200,Schussbuch!$A$3:$A$200,2045,Schussbuch!$F$3:$F$200,"Ente")</f>
        <v>0</v>
      </c>
      <c r="O24" s="71">
        <f>SUMIFS(Schussbuch!$H$3:$H$200,Schussbuch!$A$3:$A$200,2045,Schussbuch!$F$3:$F$200,"Schnepfe")</f>
        <v>0</v>
      </c>
      <c r="P24" s="71">
        <f>SUMIFS(Schussbuch!$H$3:$H$200,Schussbuch!$A$3:$A$200,2045,Schussbuch!$F$3:$F$200,"Ringeltaube")</f>
        <v>0</v>
      </c>
      <c r="Q24" s="71">
        <f>SUMIFS(Schussbuch!$H$3:$H$200,Schussbuch!$A$3:$A$200,2045,Schussbuch!$F$3:$F$200,"Eichelhäher")</f>
        <v>0</v>
      </c>
      <c r="R24" s="71">
        <f>SUMIFS(Schussbuch!$H$3:$H$200,Schussbuch!$A$3:$A$200,2045,Schussbuch!$F$3:$F$200,"Krähe")</f>
        <v>0</v>
      </c>
      <c r="S24" s="71">
        <f>SUMIFS(Schussbuch!$H$3:$H$200,Schussbuch!$A$3:$A$200,2045,Schussbuch!$F$3:$F$200,"Elster")</f>
        <v>0</v>
      </c>
      <c r="T24" s="71">
        <f>SUMIFS(Schussbuch!$H$3:$H$200,Schussbuch!$A$3:$A$200,2045,Schussbuch!$F$3:$F$200,"Katze")</f>
        <v>0</v>
      </c>
      <c r="U24" s="71">
        <f>SUMIFS(Schussbuch!$H$3:$H$200,Schussbuch!$A$3:$A$200,2045,Schussbuch!$F$3:$F$200,"Hund")</f>
        <v>0</v>
      </c>
      <c r="V24" s="74">
        <f t="shared" si="1"/>
        <v>0</v>
      </c>
    </row>
    <row r="25" spans="1:22" x14ac:dyDescent="0.2">
      <c r="A25" s="73" t="s">
        <v>154</v>
      </c>
      <c r="B25" s="71">
        <f>SUMIFS(Schussbuch!$H$3:$H$200,Schussbuch!$A$3:$A$200,2046,Schussbuch!$F$3:$F$200,"Rotwild")</f>
        <v>0</v>
      </c>
      <c r="C25" s="71">
        <f>SUMIFS(Schussbuch!$H$3:$H$200,Schussbuch!$A$3:$A$200,2046,Schussbuch!$F$3:$F$200,"Schwarzwild")</f>
        <v>0</v>
      </c>
      <c r="D25" s="71">
        <f>SUMIFS(Schussbuch!$H$3:$H$200,Schussbuch!$A$3:$A$200,2046,Schussbuch!$F$3:$F$200,"Rehwild")</f>
        <v>0</v>
      </c>
      <c r="E25" s="71">
        <f>SUMIFS(Schussbuch!$H$3:$H$200,Schussbuch!$A$3:$A$200,2046,Schussbuch!$F$3:$F$200,"Gamswild")</f>
        <v>0</v>
      </c>
      <c r="F25" s="71">
        <f>SUMIFS(Schussbuch!$H$3:$H$200,Schussbuch!$A$3:$A$200,2046,Schussbuch!$F$3:$F$200,"Damwild")</f>
        <v>0</v>
      </c>
      <c r="G25" s="71">
        <f>SUMIFS(Schussbuch!$H$3:$H$200,Schussbuch!$A$3:$A$200,2046,Schussbuch!$F$3:$F$200,"Muffelwild")</f>
        <v>0</v>
      </c>
      <c r="H25" s="71">
        <f>SUMIFS(Schussbuch!$H$3:$H$200,Schussbuch!$A$3:$A$200,2046,Schussbuch!$F$3:$F$200,"Hase")</f>
        <v>0</v>
      </c>
      <c r="I25" s="71">
        <f>SUMIFS(Schussbuch!$H$3:$H$200,Schussbuch!$A$3:$A$200,2046,Schussbuch!$F$3:$F$200,"Kanin")</f>
        <v>0</v>
      </c>
      <c r="J25" s="71">
        <f>SUMIFS(Schussbuch!$H$3:$H$200,Schussbuch!$A$3:$A$200,2046,Schussbuch!$F$3:$F$200,"Fuchs")</f>
        <v>0</v>
      </c>
      <c r="K25" s="71">
        <f>SUMIFS(Schussbuch!$H$3:$H$200,Schussbuch!$A$3:$A$200,2046,Schussbuch!$F$3:$F$200,"Marder")</f>
        <v>0</v>
      </c>
      <c r="L25" s="71">
        <f>SUMIFS(Schussbuch!$H$3:$H$200,Schussbuch!$A$3:$A$200,2046,Schussbuch!$F$3:$F$200,"Fasan")</f>
        <v>0</v>
      </c>
      <c r="M25" s="71">
        <f>SUMIFS(Schussbuch!$H$3:$H$200,Schussbuch!$A$3:$A$200,2046,Schussbuch!$F$3:$F$200,"Gans")</f>
        <v>0</v>
      </c>
      <c r="N25" s="71">
        <f>SUMIFS(Schussbuch!$H$3:$H$200,Schussbuch!$A$3:$A$200,2046,Schussbuch!$F$3:$F$200,"Ente")</f>
        <v>0</v>
      </c>
      <c r="O25" s="71">
        <f>SUMIFS(Schussbuch!$H$3:$H$200,Schussbuch!$A$3:$A$200,2046,Schussbuch!$F$3:$F$200,"Schnepfe")</f>
        <v>0</v>
      </c>
      <c r="P25" s="71">
        <f>SUMIFS(Schussbuch!$H$3:$H$200,Schussbuch!$A$3:$A$200,2046,Schussbuch!$F$3:$F$200,"Ringeltaube")</f>
        <v>0</v>
      </c>
      <c r="Q25" s="71">
        <f>SUMIFS(Schussbuch!$H$3:$H$200,Schussbuch!$A$3:$A$200,2046,Schussbuch!$F$3:$F$200,"Eichelhäher")</f>
        <v>0</v>
      </c>
      <c r="R25" s="71">
        <f>SUMIFS(Schussbuch!$H$3:$H$200,Schussbuch!$A$3:$A$200,2046,Schussbuch!$F$3:$F$200,"Krähe")</f>
        <v>0</v>
      </c>
      <c r="S25" s="71">
        <f>SUMIFS(Schussbuch!$H$3:$H$200,Schussbuch!$A$3:$A$200,2046,Schussbuch!$F$3:$F$200,"Elster")</f>
        <v>0</v>
      </c>
      <c r="T25" s="71">
        <f>SUMIFS(Schussbuch!$H$3:$H$200,Schussbuch!$A$3:$A$200,2046,Schussbuch!$F$3:$F$200,"Katze")</f>
        <v>0</v>
      </c>
      <c r="U25" s="71">
        <f>SUMIFS(Schussbuch!$H$3:$H$200,Schussbuch!$A$3:$A$200,2046,Schussbuch!$F$3:$F$200,"Hund")</f>
        <v>0</v>
      </c>
      <c r="V25" s="74">
        <f t="shared" si="1"/>
        <v>0</v>
      </c>
    </row>
    <row r="26" spans="1:22" x14ac:dyDescent="0.2">
      <c r="A26" s="73" t="s">
        <v>155</v>
      </c>
      <c r="B26" s="71">
        <f>SUMIFS(Schussbuch!$H$3:$H$200,Schussbuch!$A$3:$A$200,2047,Schussbuch!$F$3:$F$200,"Rotwild")</f>
        <v>0</v>
      </c>
      <c r="C26" s="71">
        <f>SUMIFS(Schussbuch!$H$3:$H$200,Schussbuch!$A$3:$A$200,2047,Schussbuch!$F$3:$F$200,"Schwarzwild")</f>
        <v>0</v>
      </c>
      <c r="D26" s="71">
        <f>SUMIFS(Schussbuch!$H$3:$H$200,Schussbuch!$A$3:$A$200,2047,Schussbuch!$F$3:$F$200,"Rehwild")</f>
        <v>0</v>
      </c>
      <c r="E26" s="71">
        <f>SUMIFS(Schussbuch!$H$3:$H$200,Schussbuch!$A$3:$A$200,2047,Schussbuch!$F$3:$F$200,"Gamswild")</f>
        <v>0</v>
      </c>
      <c r="F26" s="71">
        <f>SUMIFS(Schussbuch!$H$3:$H$200,Schussbuch!$A$3:$A$200,2047,Schussbuch!$F$3:$F$200,"Damwild")</f>
        <v>0</v>
      </c>
      <c r="G26" s="71">
        <f>SUMIFS(Schussbuch!$H$3:$H$200,Schussbuch!$A$3:$A$200,2047,Schussbuch!$F$3:$F$200,"Muffelwild")</f>
        <v>0</v>
      </c>
      <c r="H26" s="71">
        <f>SUMIFS(Schussbuch!$H$3:$H$200,Schussbuch!$A$3:$A$200,2047,Schussbuch!$F$3:$F$200,"Hase")</f>
        <v>0</v>
      </c>
      <c r="I26" s="71">
        <f>SUMIFS(Schussbuch!$H$3:$H$200,Schussbuch!$A$3:$A$200,2047,Schussbuch!$F$3:$F$200,"Kanin")</f>
        <v>0</v>
      </c>
      <c r="J26" s="71">
        <f>SUMIFS(Schussbuch!$H$3:$H$200,Schussbuch!$A$3:$A$200,2047,Schussbuch!$F$3:$F$200,"Fuchs")</f>
        <v>0</v>
      </c>
      <c r="K26" s="71">
        <f>SUMIFS(Schussbuch!$H$3:$H$200,Schussbuch!$A$3:$A$200,2047,Schussbuch!$F$3:$F$200,"Marder")</f>
        <v>0</v>
      </c>
      <c r="L26" s="71">
        <f>SUMIFS(Schussbuch!$H$3:$H$200,Schussbuch!$A$3:$A$200,2047,Schussbuch!$F$3:$F$200,"Fasan")</f>
        <v>0</v>
      </c>
      <c r="M26" s="71">
        <f>SUMIFS(Schussbuch!$H$3:$H$200,Schussbuch!$A$3:$A$200,2047,Schussbuch!$F$3:$F$200,"Gans")</f>
        <v>0</v>
      </c>
      <c r="N26" s="71">
        <f>SUMIFS(Schussbuch!$H$3:$H$200,Schussbuch!$A$3:$A$200,2047,Schussbuch!$F$3:$F$200,"Ente")</f>
        <v>0</v>
      </c>
      <c r="O26" s="71">
        <f>SUMIFS(Schussbuch!$H$3:$H$200,Schussbuch!$A$3:$A$200,2047,Schussbuch!$F$3:$F$200,"Schnepfe")</f>
        <v>0</v>
      </c>
      <c r="P26" s="71">
        <f>SUMIFS(Schussbuch!$H$3:$H$200,Schussbuch!$A$3:$A$200,2047,Schussbuch!$F$3:$F$200,"Ringeltaube")</f>
        <v>0</v>
      </c>
      <c r="Q26" s="71">
        <f>SUMIFS(Schussbuch!$H$3:$H$200,Schussbuch!$A$3:$A$200,2047,Schussbuch!$F$3:$F$200,"Eichelhäher")</f>
        <v>0</v>
      </c>
      <c r="R26" s="71">
        <f>SUMIFS(Schussbuch!$H$3:$H$200,Schussbuch!$A$3:$A$200,2047,Schussbuch!$F$3:$F$200,"Krähe")</f>
        <v>0</v>
      </c>
      <c r="S26" s="71">
        <f>SUMIFS(Schussbuch!$H$3:$H$200,Schussbuch!$A$3:$A$200,2047,Schussbuch!$F$3:$F$200,"Elster")</f>
        <v>0</v>
      </c>
      <c r="T26" s="71">
        <f>SUMIFS(Schussbuch!$H$3:$H$200,Schussbuch!$A$3:$A$200,2047,Schussbuch!$F$3:$F$200,"Katze")</f>
        <v>0</v>
      </c>
      <c r="U26" s="71">
        <f>SUMIFS(Schussbuch!$H$3:$H$200,Schussbuch!$A$3:$A$200,2047,Schussbuch!$F$3:$F$200,"Hund")</f>
        <v>0</v>
      </c>
      <c r="V26" s="74">
        <f t="shared" si="1"/>
        <v>0</v>
      </c>
    </row>
    <row r="27" spans="1:22" x14ac:dyDescent="0.2">
      <c r="A27" s="73" t="s">
        <v>156</v>
      </c>
      <c r="B27" s="71">
        <f>SUMIFS(Schussbuch!$H$3:$H$200,Schussbuch!$A$3:$A$200,2048,Schussbuch!$F$3:$F$200,"Rotwild")</f>
        <v>0</v>
      </c>
      <c r="C27" s="71">
        <f>SUMIFS(Schussbuch!$H$3:$H$200,Schussbuch!$A$3:$A$200,2048,Schussbuch!$F$3:$F$200,"Schwarzwild")</f>
        <v>0</v>
      </c>
      <c r="D27" s="71">
        <f>SUMIFS(Schussbuch!$H$3:$H$200,Schussbuch!$A$3:$A$200,2048,Schussbuch!$F$3:$F$200,"Rehwild")</f>
        <v>0</v>
      </c>
      <c r="E27" s="71">
        <f>SUMIFS(Schussbuch!$H$3:$H$200,Schussbuch!$A$3:$A$200,2048,Schussbuch!$F$3:$F$200,"Gamswild")</f>
        <v>0</v>
      </c>
      <c r="F27" s="71">
        <f>SUMIFS(Schussbuch!$H$3:$H$200,Schussbuch!$A$3:$A$200,2048,Schussbuch!$F$3:$F$200,"Damwild")</f>
        <v>0</v>
      </c>
      <c r="G27" s="71">
        <f>SUMIFS(Schussbuch!$H$3:$H$200,Schussbuch!$A$3:$A$200,2048,Schussbuch!$F$3:$F$200,"Muffelwild")</f>
        <v>0</v>
      </c>
      <c r="H27" s="71">
        <f>SUMIFS(Schussbuch!$H$3:$H$200,Schussbuch!$A$3:$A$200,2048,Schussbuch!$F$3:$F$200,"Hase")</f>
        <v>0</v>
      </c>
      <c r="I27" s="71">
        <f>SUMIFS(Schussbuch!$H$3:$H$200,Schussbuch!$A$3:$A$200,2048,Schussbuch!$F$3:$F$200,"Kanin")</f>
        <v>0</v>
      </c>
      <c r="J27" s="71">
        <f>SUMIFS(Schussbuch!$H$3:$H$200,Schussbuch!$A$3:$A$200,2048,Schussbuch!$F$3:$F$200,"Fuchs")</f>
        <v>0</v>
      </c>
      <c r="K27" s="71">
        <f>SUMIFS(Schussbuch!$H$3:$H$200,Schussbuch!$A$3:$A$200,2048,Schussbuch!$F$3:$F$200,"Marder")</f>
        <v>0</v>
      </c>
      <c r="L27" s="71">
        <f>SUMIFS(Schussbuch!$H$3:$H$200,Schussbuch!$A$3:$A$200,2048,Schussbuch!$F$3:$F$200,"Fasan")</f>
        <v>0</v>
      </c>
      <c r="M27" s="71">
        <f>SUMIFS(Schussbuch!$H$3:$H$200,Schussbuch!$A$3:$A$200,2048,Schussbuch!$F$3:$F$200,"Gans")</f>
        <v>0</v>
      </c>
      <c r="N27" s="71">
        <f>SUMIFS(Schussbuch!$H$3:$H$200,Schussbuch!$A$3:$A$200,2048,Schussbuch!$F$3:$F$200,"Ente")</f>
        <v>0</v>
      </c>
      <c r="O27" s="71">
        <f>SUMIFS(Schussbuch!$H$3:$H$200,Schussbuch!$A$3:$A$200,2048,Schussbuch!$F$3:$F$200,"Schnepfe")</f>
        <v>0</v>
      </c>
      <c r="P27" s="71">
        <f>SUMIFS(Schussbuch!$H$3:$H$200,Schussbuch!$A$3:$A$200,2048,Schussbuch!$F$3:$F$200,"Ringeltaube")</f>
        <v>0</v>
      </c>
      <c r="Q27" s="71">
        <f>SUMIFS(Schussbuch!$H$3:$H$200,Schussbuch!$A$3:$A$200,2048,Schussbuch!$F$3:$F$200,"Eichelhäher")</f>
        <v>0</v>
      </c>
      <c r="R27" s="71">
        <f>SUMIFS(Schussbuch!$H$3:$H$200,Schussbuch!$A$3:$A$200,2048,Schussbuch!$F$3:$F$200,"Krähe")</f>
        <v>0</v>
      </c>
      <c r="S27" s="71">
        <f>SUMIFS(Schussbuch!$H$3:$H$200,Schussbuch!$A$3:$A$200,2048,Schussbuch!$F$3:$F$200,"Elster")</f>
        <v>0</v>
      </c>
      <c r="T27" s="71">
        <f>SUMIFS(Schussbuch!$H$3:$H$200,Schussbuch!$A$3:$A$200,2048,Schussbuch!$F$3:$F$200,"Katze")</f>
        <v>0</v>
      </c>
      <c r="U27" s="71">
        <f>SUMIFS(Schussbuch!$H$3:$H$200,Schussbuch!$A$3:$A$200,2048,Schussbuch!$F$3:$F$200,"Hund")</f>
        <v>0</v>
      </c>
      <c r="V27" s="74">
        <f t="shared" si="1"/>
        <v>0</v>
      </c>
    </row>
    <row r="28" spans="1:22" x14ac:dyDescent="0.2">
      <c r="A28" s="73" t="s">
        <v>157</v>
      </c>
      <c r="B28" s="71">
        <f>SUMIFS(Schussbuch!$H$3:$H$200,Schussbuch!$A$3:$A$200,2049,Schussbuch!$F$3:$F$200,"Rotwild")</f>
        <v>0</v>
      </c>
      <c r="C28" s="71">
        <f>SUMIFS(Schussbuch!$H$3:$H$200,Schussbuch!$A$3:$A$200,2049,Schussbuch!$F$3:$F$200,"Schwarzwild")</f>
        <v>0</v>
      </c>
      <c r="D28" s="71">
        <f>SUMIFS(Schussbuch!$H$3:$H$200,Schussbuch!$A$3:$A$200,2049,Schussbuch!$F$3:$F$200,"Rehwild")</f>
        <v>0</v>
      </c>
      <c r="E28" s="71">
        <f>SUMIFS(Schussbuch!$H$3:$H$200,Schussbuch!$A$3:$A$200,2049,Schussbuch!$F$3:$F$200,"Gamswild")</f>
        <v>0</v>
      </c>
      <c r="F28" s="71">
        <f>SUMIFS(Schussbuch!$H$3:$H$200,Schussbuch!$A$3:$A$200,2049,Schussbuch!$F$3:$F$200,"Damwild")</f>
        <v>0</v>
      </c>
      <c r="G28" s="71">
        <f>SUMIFS(Schussbuch!$H$3:$H$200,Schussbuch!$A$3:$A$200,2049,Schussbuch!$F$3:$F$200,"Muffelwild")</f>
        <v>0</v>
      </c>
      <c r="H28" s="71">
        <f>SUMIFS(Schussbuch!$H$3:$H$200,Schussbuch!$A$3:$A$200,2049,Schussbuch!$F$3:$F$200,"Hase")</f>
        <v>0</v>
      </c>
      <c r="I28" s="71">
        <f>SUMIFS(Schussbuch!$H$3:$H$200,Schussbuch!$A$3:$A$200,2049,Schussbuch!$F$3:$F$200,"Kanin")</f>
        <v>0</v>
      </c>
      <c r="J28" s="71">
        <f>SUMIFS(Schussbuch!$H$3:$H$200,Schussbuch!$A$3:$A$200,2049,Schussbuch!$F$3:$F$200,"Fuchs")</f>
        <v>0</v>
      </c>
      <c r="K28" s="71">
        <f>SUMIFS(Schussbuch!$H$3:$H$200,Schussbuch!$A$3:$A$200,2049,Schussbuch!$F$3:$F$200,"Marder")</f>
        <v>0</v>
      </c>
      <c r="L28" s="71">
        <f>SUMIFS(Schussbuch!$H$3:$H$200,Schussbuch!$A$3:$A$200,2049,Schussbuch!$F$3:$F$200,"Fasan")</f>
        <v>0</v>
      </c>
      <c r="M28" s="71">
        <f>SUMIFS(Schussbuch!$H$3:$H$200,Schussbuch!$A$3:$A$200,2049,Schussbuch!$F$3:$F$200,"Gans")</f>
        <v>0</v>
      </c>
      <c r="N28" s="71">
        <f>SUMIFS(Schussbuch!$H$3:$H$200,Schussbuch!$A$3:$A$200,2049,Schussbuch!$F$3:$F$200,"Ente")</f>
        <v>0</v>
      </c>
      <c r="O28" s="71">
        <f>SUMIFS(Schussbuch!$H$3:$H$200,Schussbuch!$A$3:$A$200,2049,Schussbuch!$F$3:$F$200,"Schnepfe")</f>
        <v>0</v>
      </c>
      <c r="P28" s="71">
        <f>SUMIFS(Schussbuch!$H$3:$H$200,Schussbuch!$A$3:$A$200,2049,Schussbuch!$F$3:$F$200,"Ringeltaube")</f>
        <v>0</v>
      </c>
      <c r="Q28" s="71">
        <f>SUMIFS(Schussbuch!$H$3:$H$200,Schussbuch!$A$3:$A$200,2049,Schussbuch!$F$3:$F$200,"Eichelhäher")</f>
        <v>0</v>
      </c>
      <c r="R28" s="71">
        <f>SUMIFS(Schussbuch!$H$3:$H$200,Schussbuch!$A$3:$A$200,2049,Schussbuch!$F$3:$F$200,"Krähe")</f>
        <v>0</v>
      </c>
      <c r="S28" s="71">
        <f>SUMIFS(Schussbuch!$H$3:$H$200,Schussbuch!$A$3:$A$200,2049,Schussbuch!$F$3:$F$200,"Elster")</f>
        <v>0</v>
      </c>
      <c r="T28" s="71">
        <f>SUMIFS(Schussbuch!$H$3:$H$200,Schussbuch!$A$3:$A$200,2049,Schussbuch!$F$3:$F$200,"Katze")</f>
        <v>0</v>
      </c>
      <c r="U28" s="71">
        <f>SUMIFS(Schussbuch!$H$3:$H$200,Schussbuch!$A$3:$A$200,2049,Schussbuch!$F$3:$F$200,"Hund")</f>
        <v>0</v>
      </c>
      <c r="V28" s="74">
        <f t="shared" si="1"/>
        <v>0</v>
      </c>
    </row>
    <row r="29" spans="1:22" ht="13.5" thickBot="1" x14ac:dyDescent="0.25"/>
    <row r="30" spans="1:22" ht="14.25" thickTop="1" thickBot="1" x14ac:dyDescent="0.25">
      <c r="A30" s="79" t="s">
        <v>124</v>
      </c>
      <c r="B30" s="80">
        <f>SUM(Tabelle3[Rotwild])</f>
        <v>0</v>
      </c>
      <c r="C30" s="80">
        <f>SUM(Tabelle3[Schwarzwild])</f>
        <v>0</v>
      </c>
      <c r="D30" s="80">
        <f>SUM(Tabelle3[Rehwild])</f>
        <v>3</v>
      </c>
      <c r="E30" s="80">
        <f>SUM(Tabelle3[Gamswild])</f>
        <v>0</v>
      </c>
      <c r="F30" s="80">
        <f>SUM(Tabelle3[Damwild])</f>
        <v>0</v>
      </c>
      <c r="G30" s="80">
        <f>SUM(Tabelle3[Muffelwild])</f>
        <v>0</v>
      </c>
      <c r="H30" s="80">
        <f>SUM(Tabelle3[Hase])</f>
        <v>0</v>
      </c>
      <c r="I30" s="80">
        <f>SUM(Tabelle3[Kanin])</f>
        <v>0</v>
      </c>
      <c r="J30" s="80">
        <f>SUM(Tabelle3[Fuchs])</f>
        <v>0</v>
      </c>
      <c r="K30" s="80">
        <f>SUM(Tabelle3[Marder])</f>
        <v>0</v>
      </c>
      <c r="L30" s="80">
        <f>SUM(Tabelle3[Fasan])</f>
        <v>0</v>
      </c>
      <c r="M30" s="80">
        <f>SUM(Tabelle3[Gans])</f>
        <v>0</v>
      </c>
      <c r="N30" s="80">
        <f>SUM(Tabelle3[Ente])</f>
        <v>0</v>
      </c>
      <c r="O30" s="80">
        <f>SUM(Tabelle3[Schnepfe])</f>
        <v>0</v>
      </c>
      <c r="P30" s="80">
        <f>SUM(Tabelle3[Ringeltaube])</f>
        <v>0</v>
      </c>
      <c r="Q30" s="80">
        <f>SUM(Tabelle3[Eichelhäher])</f>
        <v>0</v>
      </c>
      <c r="R30" s="80">
        <f>SUM(Tabelle3[Krähe])</f>
        <v>0</v>
      </c>
      <c r="S30" s="80">
        <f>SUM(Tabelle3[Elster])</f>
        <v>0</v>
      </c>
      <c r="T30" s="80">
        <f>SUM(Tabelle3[Katze])</f>
        <v>0</v>
      </c>
      <c r="U30" s="80">
        <f>SUM(Tabelle3[Hund])</f>
        <v>0</v>
      </c>
      <c r="V30" s="81">
        <f>SUM(Tabelle3[[Summe ]])</f>
        <v>3</v>
      </c>
    </row>
    <row r="31" spans="1:22" ht="13.5" thickTop="1" x14ac:dyDescent="0.2"/>
    <row r="32" spans="1:22" x14ac:dyDescent="0.2">
      <c r="E32" s="50" t="s">
        <v>159</v>
      </c>
    </row>
  </sheetData>
  <phoneticPr fontId="3" type="noConversion"/>
  <pageMargins left="0.7" right="0.7" top="0.78740157499999996" bottom="0.78740157499999996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9" sqref="D29"/>
    </sheetView>
  </sheetViews>
  <sheetFormatPr baseColWidth="10" defaultRowHeight="12.75" x14ac:dyDescent="0.2"/>
  <cols>
    <col min="1" max="1" width="5" customWidth="1"/>
    <col min="2" max="2" width="11.42578125" customWidth="1"/>
    <col min="3" max="3" width="44.7109375" customWidth="1"/>
    <col min="4" max="4" width="67.85546875" customWidth="1"/>
  </cols>
  <sheetData>
    <row r="1" spans="1:4" ht="36" x14ac:dyDescent="0.55000000000000004">
      <c r="A1" s="27" t="s">
        <v>60</v>
      </c>
      <c r="B1" s="26"/>
      <c r="C1" s="26"/>
      <c r="D1" s="26"/>
    </row>
    <row r="2" spans="1:4" ht="15" x14ac:dyDescent="0.25">
      <c r="A2" s="26" t="s">
        <v>62</v>
      </c>
      <c r="B2" s="26" t="s">
        <v>1</v>
      </c>
      <c r="C2" s="26" t="s">
        <v>61</v>
      </c>
      <c r="D2" s="26" t="s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1"/>
  <sheetViews>
    <sheetView zoomScale="130" zoomScaleNormal="130" workbookViewId="0">
      <pane ySplit="2" topLeftCell="A3" activePane="bottomLeft" state="frozen"/>
      <selection pane="bottomLeft" activeCell="D7" sqref="D7"/>
    </sheetView>
  </sheetViews>
  <sheetFormatPr baseColWidth="10" defaultRowHeight="12" x14ac:dyDescent="0.2"/>
  <cols>
    <col min="1" max="1" width="10.140625" style="4" customWidth="1"/>
    <col min="2" max="2" width="5.7109375" style="4" customWidth="1"/>
    <col min="3" max="3" width="12.140625" style="4" customWidth="1"/>
    <col min="4" max="4" width="9" style="4" bestFit="1" customWidth="1"/>
    <col min="5" max="5" width="20.42578125" style="4" customWidth="1"/>
    <col min="6" max="6" width="20.7109375" style="4" customWidth="1"/>
    <col min="7" max="7" width="18.140625" style="4" customWidth="1"/>
    <col min="8" max="8" width="4.140625" style="55" customWidth="1"/>
    <col min="9" max="9" width="51" style="4" customWidth="1"/>
    <col min="10" max="16384" width="11.42578125" style="4"/>
  </cols>
  <sheetData>
    <row r="1" spans="1:9" ht="26.25" x14ac:dyDescent="0.4">
      <c r="A1" s="23" t="s">
        <v>0</v>
      </c>
      <c r="B1" s="20"/>
      <c r="C1" s="20"/>
      <c r="D1" s="20"/>
      <c r="E1" s="20"/>
      <c r="F1" s="20"/>
      <c r="G1" s="20"/>
      <c r="H1" s="22"/>
      <c r="I1" s="20"/>
    </row>
    <row r="2" spans="1:9" ht="40.5" customHeight="1" x14ac:dyDescent="0.25">
      <c r="A2" s="21" t="s">
        <v>57</v>
      </c>
      <c r="B2" s="22" t="s">
        <v>2</v>
      </c>
      <c r="C2" s="22" t="s">
        <v>3</v>
      </c>
      <c r="D2" s="22" t="s">
        <v>4</v>
      </c>
      <c r="E2" s="24" t="s">
        <v>120</v>
      </c>
      <c r="F2" s="22" t="s">
        <v>5</v>
      </c>
      <c r="G2" s="24" t="s">
        <v>59</v>
      </c>
      <c r="H2" s="25" t="s">
        <v>6</v>
      </c>
      <c r="I2" s="22" t="s">
        <v>7</v>
      </c>
    </row>
    <row r="3" spans="1:9" x14ac:dyDescent="0.2">
      <c r="A3" s="6"/>
      <c r="I3" s="1"/>
    </row>
    <row r="4" spans="1:9" x14ac:dyDescent="0.2">
      <c r="A4" s="6"/>
      <c r="I4" s="1"/>
    </row>
    <row r="5" spans="1:9" x14ac:dyDescent="0.2">
      <c r="A5" s="6"/>
      <c r="E5" s="1"/>
      <c r="F5" s="1"/>
      <c r="I5" s="1"/>
    </row>
    <row r="6" spans="1:9" x14ac:dyDescent="0.2">
      <c r="A6" s="6"/>
      <c r="E6" s="1"/>
      <c r="I6" s="1"/>
    </row>
    <row r="7" spans="1:9" x14ac:dyDescent="0.2">
      <c r="A7" s="6"/>
      <c r="I7" s="1"/>
    </row>
    <row r="8" spans="1:9" x14ac:dyDescent="0.2">
      <c r="A8" s="6"/>
      <c r="I8" s="1"/>
    </row>
    <row r="9" spans="1:9" x14ac:dyDescent="0.2">
      <c r="A9" s="6"/>
      <c r="I9" s="1"/>
    </row>
    <row r="10" spans="1:9" x14ac:dyDescent="0.2">
      <c r="A10" s="82"/>
      <c r="I10" s="1"/>
    </row>
    <row r="11" spans="1:9" x14ac:dyDescent="0.2">
      <c r="A11" s="6"/>
      <c r="I11" s="1"/>
    </row>
    <row r="12" spans="1:9" x14ac:dyDescent="0.2">
      <c r="A12" s="82"/>
      <c r="B12" s="82"/>
      <c r="C12" s="82"/>
      <c r="D12" s="82"/>
      <c r="E12" s="82"/>
      <c r="F12" s="82"/>
      <c r="G12" s="82"/>
      <c r="H12" s="82"/>
      <c r="I12" s="82"/>
    </row>
    <row r="13" spans="1:9" x14ac:dyDescent="0.2">
      <c r="A13" s="6"/>
      <c r="I13" s="1"/>
    </row>
    <row r="14" spans="1:9" x14ac:dyDescent="0.2">
      <c r="A14" s="6"/>
      <c r="I14" s="1"/>
    </row>
    <row r="15" spans="1:9" x14ac:dyDescent="0.2">
      <c r="A15" s="82"/>
      <c r="B15" s="82"/>
      <c r="C15" s="82"/>
      <c r="D15" s="82"/>
      <c r="E15" s="82"/>
      <c r="F15" s="82"/>
      <c r="G15" s="82"/>
      <c r="H15" s="82"/>
      <c r="I15" s="82"/>
    </row>
    <row r="16" spans="1:9" x14ac:dyDescent="0.2">
      <c r="A16" s="6"/>
      <c r="I16" s="1"/>
    </row>
    <row r="17" spans="1:9" x14ac:dyDescent="0.2">
      <c r="A17" s="6"/>
      <c r="I17" s="1"/>
    </row>
    <row r="18" spans="1:9" x14ac:dyDescent="0.2">
      <c r="A18" s="6"/>
      <c r="I18" s="1"/>
    </row>
    <row r="19" spans="1:9" x14ac:dyDescent="0.2">
      <c r="I19" s="1"/>
    </row>
    <row r="20" spans="1:9" x14ac:dyDescent="0.2">
      <c r="I20" s="1"/>
    </row>
    <row r="21" spans="1:9" x14ac:dyDescent="0.2">
      <c r="I21" s="1"/>
    </row>
  </sheetData>
  <phoneticPr fontId="0" type="noConversion"/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r:id="rId1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2"/>
  <sheetViews>
    <sheetView workbookViewId="0">
      <selection activeCell="D6" sqref="D6"/>
    </sheetView>
  </sheetViews>
  <sheetFormatPr baseColWidth="10" defaultRowHeight="12.75" x14ac:dyDescent="0.2"/>
  <cols>
    <col min="1" max="2" width="10.140625" bestFit="1" customWidth="1"/>
    <col min="3" max="3" width="24" customWidth="1"/>
    <col min="4" max="4" width="12.42578125" bestFit="1" customWidth="1"/>
    <col min="5" max="5" width="34.28515625" customWidth="1"/>
    <col min="6" max="6" width="11.28515625" bestFit="1" customWidth="1"/>
    <col min="7" max="7" width="11.42578125" style="13" bestFit="1" customWidth="1"/>
    <col min="8" max="8" width="9.28515625" style="13" bestFit="1" customWidth="1"/>
    <col min="9" max="9" width="9.42578125" style="28" bestFit="1" customWidth="1"/>
    <col min="10" max="10" width="12" customWidth="1"/>
    <col min="11" max="11" width="29" customWidth="1"/>
  </cols>
  <sheetData>
    <row r="1" spans="1:11" ht="31.5" x14ac:dyDescent="0.5">
      <c r="A1" s="93" t="s">
        <v>53</v>
      </c>
      <c r="B1" s="93"/>
      <c r="C1" s="93"/>
      <c r="D1" s="93"/>
      <c r="E1" s="93"/>
      <c r="F1" s="93"/>
      <c r="G1" s="93"/>
      <c r="H1" s="93"/>
      <c r="I1" s="93"/>
      <c r="J1" s="93"/>
      <c r="K1" s="93"/>
    </row>
    <row r="2" spans="1:11" ht="30.75" customHeight="1" x14ac:dyDescent="0.25">
      <c r="A2" s="92" t="s">
        <v>54</v>
      </c>
      <c r="B2" s="92"/>
      <c r="C2" s="14" t="s">
        <v>66</v>
      </c>
      <c r="D2" s="14" t="s">
        <v>69</v>
      </c>
      <c r="E2" s="14" t="s">
        <v>55</v>
      </c>
      <c r="F2" s="14" t="s">
        <v>67</v>
      </c>
      <c r="G2" s="29" t="s">
        <v>65</v>
      </c>
      <c r="H2" s="29" t="s">
        <v>63</v>
      </c>
      <c r="I2" s="30" t="s">
        <v>64</v>
      </c>
      <c r="J2" s="14" t="s">
        <v>51</v>
      </c>
      <c r="K2" s="14" t="s">
        <v>7</v>
      </c>
    </row>
  </sheetData>
  <mergeCells count="2">
    <mergeCell ref="A2:B2"/>
    <mergeCell ref="A1:K1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2"/>
  <sheetViews>
    <sheetView showZeros="0" showOutlineSymbols="0" zoomScale="130" zoomScaleNormal="130" workbookViewId="0">
      <pane ySplit="2" topLeftCell="A3" activePane="bottomLeft" state="frozen"/>
      <selection pane="bottomLeft" activeCell="E68" sqref="E68"/>
    </sheetView>
  </sheetViews>
  <sheetFormatPr baseColWidth="10" defaultRowHeight="12.75" x14ac:dyDescent="0.2"/>
  <cols>
    <col min="1" max="1" width="10.5703125" customWidth="1"/>
    <col min="2" max="2" width="6.5703125" customWidth="1"/>
    <col min="3" max="3" width="16.140625" customWidth="1"/>
    <col min="4" max="4" width="12.5703125" style="4" customWidth="1"/>
    <col min="5" max="5" width="35" customWidth="1"/>
    <col min="6" max="6" width="12.42578125" customWidth="1"/>
    <col min="7" max="7" width="3.42578125" style="2" customWidth="1"/>
    <col min="8" max="8" width="47.7109375" customWidth="1"/>
  </cols>
  <sheetData>
    <row r="1" spans="1:8" ht="23.25" x14ac:dyDescent="0.35">
      <c r="A1" s="16" t="s">
        <v>52</v>
      </c>
      <c r="B1" s="15"/>
      <c r="C1" s="15"/>
      <c r="D1" s="31"/>
      <c r="E1" s="15"/>
      <c r="F1" s="15"/>
      <c r="G1" s="32"/>
      <c r="H1" s="15"/>
    </row>
    <row r="2" spans="1:8" ht="41.25" customHeight="1" x14ac:dyDescent="0.25">
      <c r="A2" s="18" t="s">
        <v>57</v>
      </c>
      <c r="B2" s="15" t="s">
        <v>58</v>
      </c>
      <c r="C2" s="15" t="s">
        <v>3</v>
      </c>
      <c r="D2" s="15" t="s">
        <v>4</v>
      </c>
      <c r="E2" s="15" t="s">
        <v>51</v>
      </c>
      <c r="F2" s="17" t="s">
        <v>56</v>
      </c>
      <c r="G2" s="19" t="s">
        <v>6</v>
      </c>
      <c r="H2" s="15" t="s">
        <v>7</v>
      </c>
    </row>
  </sheetData>
  <phoneticPr fontId="0" type="noConversion"/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r:id="rId1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22"/>
  <sheetViews>
    <sheetView workbookViewId="0">
      <selection activeCell="B3" sqref="B3"/>
    </sheetView>
  </sheetViews>
  <sheetFormatPr baseColWidth="10" defaultRowHeight="12.75" x14ac:dyDescent="0.2"/>
  <cols>
    <col min="1" max="1" width="7" customWidth="1"/>
    <col min="2" max="2" width="22.7109375" customWidth="1"/>
  </cols>
  <sheetData>
    <row r="1" spans="1:2" ht="15.75" x14ac:dyDescent="0.25">
      <c r="A1" s="3" t="s">
        <v>18</v>
      </c>
    </row>
    <row r="2" spans="1:2" x14ac:dyDescent="0.2">
      <c r="A2" s="2">
        <v>0</v>
      </c>
      <c r="B2" s="59" t="s">
        <v>116</v>
      </c>
    </row>
    <row r="3" spans="1:2" x14ac:dyDescent="0.2">
      <c r="A3" s="2">
        <v>1</v>
      </c>
      <c r="B3" t="s">
        <v>10</v>
      </c>
    </row>
    <row r="4" spans="1:2" x14ac:dyDescent="0.2">
      <c r="A4" s="2">
        <v>2</v>
      </c>
      <c r="B4" t="s">
        <v>11</v>
      </c>
    </row>
    <row r="5" spans="1:2" x14ac:dyDescent="0.2">
      <c r="A5" s="2">
        <v>3</v>
      </c>
      <c r="B5" t="s">
        <v>12</v>
      </c>
    </row>
    <row r="6" spans="1:2" x14ac:dyDescent="0.2">
      <c r="A6" s="2">
        <v>4</v>
      </c>
      <c r="B6" t="s">
        <v>13</v>
      </c>
    </row>
    <row r="7" spans="1:2" x14ac:dyDescent="0.2">
      <c r="A7" s="2">
        <v>5</v>
      </c>
      <c r="B7" t="s">
        <v>14</v>
      </c>
    </row>
    <row r="8" spans="1:2" x14ac:dyDescent="0.2">
      <c r="A8" s="2">
        <v>6</v>
      </c>
      <c r="B8" t="s">
        <v>15</v>
      </c>
    </row>
    <row r="9" spans="1:2" x14ac:dyDescent="0.2">
      <c r="A9" s="2">
        <v>7</v>
      </c>
      <c r="B9" t="s">
        <v>19</v>
      </c>
    </row>
    <row r="10" spans="1:2" x14ac:dyDescent="0.2">
      <c r="A10" s="2">
        <v>8</v>
      </c>
      <c r="B10" t="s">
        <v>20</v>
      </c>
    </row>
    <row r="11" spans="1:2" x14ac:dyDescent="0.2">
      <c r="A11" s="2">
        <v>9</v>
      </c>
      <c r="B11" t="s">
        <v>21</v>
      </c>
    </row>
    <row r="12" spans="1:2" x14ac:dyDescent="0.2">
      <c r="A12" s="2">
        <v>10</v>
      </c>
      <c r="B12" t="s">
        <v>22</v>
      </c>
    </row>
    <row r="13" spans="1:2" x14ac:dyDescent="0.2">
      <c r="A13" s="2">
        <v>11</v>
      </c>
      <c r="B13" t="s">
        <v>23</v>
      </c>
    </row>
    <row r="14" spans="1:2" x14ac:dyDescent="0.2">
      <c r="A14" s="2">
        <v>12</v>
      </c>
      <c r="B14" t="s">
        <v>24</v>
      </c>
    </row>
    <row r="15" spans="1:2" x14ac:dyDescent="0.2">
      <c r="A15" s="2">
        <v>13</v>
      </c>
      <c r="B15" t="s">
        <v>25</v>
      </c>
    </row>
    <row r="16" spans="1:2" x14ac:dyDescent="0.2">
      <c r="A16" s="2">
        <v>14</v>
      </c>
      <c r="B16" t="s">
        <v>26</v>
      </c>
    </row>
    <row r="17" spans="1:2" x14ac:dyDescent="0.2">
      <c r="A17" s="2">
        <v>15</v>
      </c>
      <c r="B17" t="s">
        <v>27</v>
      </c>
    </row>
    <row r="18" spans="1:2" x14ac:dyDescent="0.2">
      <c r="A18" s="2">
        <v>16</v>
      </c>
      <c r="B18" t="s">
        <v>16</v>
      </c>
    </row>
    <row r="19" spans="1:2" x14ac:dyDescent="0.2">
      <c r="A19" s="2">
        <v>17</v>
      </c>
      <c r="B19" t="s">
        <v>28</v>
      </c>
    </row>
    <row r="20" spans="1:2" x14ac:dyDescent="0.2">
      <c r="A20" s="2">
        <v>18</v>
      </c>
      <c r="B20" t="s">
        <v>29</v>
      </c>
    </row>
    <row r="21" spans="1:2" x14ac:dyDescent="0.2">
      <c r="A21" s="2">
        <v>19</v>
      </c>
      <c r="B21" t="s">
        <v>30</v>
      </c>
    </row>
    <row r="22" spans="1:2" x14ac:dyDescent="0.2">
      <c r="A22" s="2">
        <v>20</v>
      </c>
      <c r="B22" t="s">
        <v>31</v>
      </c>
    </row>
  </sheetData>
  <phoneticPr fontId="0" type="noConversion"/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4294967293" r:id="rId1"/>
  <headerFooter alignWithMargins="0">
    <oddHeader>&amp;A</oddHeader>
    <oddFooter>Seite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2"/>
  <sheetViews>
    <sheetView workbookViewId="0">
      <selection activeCell="O29" sqref="O29"/>
    </sheetView>
  </sheetViews>
  <sheetFormatPr baseColWidth="10" defaultRowHeight="12.75" x14ac:dyDescent="0.2"/>
  <cols>
    <col min="1" max="1" width="7" bestFit="1" customWidth="1"/>
    <col min="2" max="2" width="11.28515625" bestFit="1" customWidth="1"/>
    <col min="3" max="3" width="7.42578125" bestFit="1" customWidth="1"/>
    <col min="4" max="4" width="9.140625" bestFit="1" customWidth="1"/>
    <col min="5" max="5" width="8" bestFit="1" customWidth="1"/>
    <col min="6" max="6" width="9" bestFit="1" customWidth="1"/>
    <col min="7" max="7" width="5.28515625" bestFit="1" customWidth="1"/>
    <col min="8" max="8" width="5.7109375" bestFit="1" customWidth="1"/>
    <col min="9" max="9" width="6.140625" bestFit="1" customWidth="1"/>
    <col min="10" max="10" width="6.7109375" bestFit="1" customWidth="1"/>
    <col min="11" max="11" width="6.140625" bestFit="1" customWidth="1"/>
    <col min="12" max="12" width="4.85546875" bestFit="1" customWidth="1"/>
    <col min="13" max="13" width="5.42578125" bestFit="1" customWidth="1"/>
    <col min="14" max="14" width="8.7109375" bestFit="1" customWidth="1"/>
    <col min="15" max="16" width="10.7109375" bestFit="1" customWidth="1"/>
    <col min="17" max="19" width="5.85546875" bestFit="1" customWidth="1"/>
    <col min="20" max="20" width="5.28515625" bestFit="1" customWidth="1"/>
  </cols>
  <sheetData>
    <row r="1" spans="1:20" x14ac:dyDescent="0.2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</row>
    <row r="2" spans="1:20" x14ac:dyDescent="0.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16</v>
      </c>
      <c r="Q2" t="s">
        <v>28</v>
      </c>
      <c r="R2" t="s">
        <v>29</v>
      </c>
      <c r="S2" t="s">
        <v>30</v>
      </c>
      <c r="T2" t="s">
        <v>31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14</vt:i4>
      </vt:variant>
      <vt:variant>
        <vt:lpstr>Diagramme</vt:lpstr>
      </vt:variant>
      <vt:variant>
        <vt:i4>1</vt:i4>
      </vt:variant>
    </vt:vector>
  </HeadingPairs>
  <TitlesOfParts>
    <vt:vector size="15" baseType="lpstr">
      <vt:lpstr>Info</vt:lpstr>
      <vt:lpstr>E</vt:lpstr>
      <vt:lpstr>Revier</vt:lpstr>
      <vt:lpstr>Adressen</vt:lpstr>
      <vt:lpstr>Kosten</vt:lpstr>
      <vt:lpstr>Schussbuch</vt:lpstr>
      <vt:lpstr>Jagdstrecke I</vt:lpstr>
      <vt:lpstr>Strecke II</vt:lpstr>
      <vt:lpstr>Notizen</vt:lpstr>
      <vt:lpstr>Ansitze</vt:lpstr>
      <vt:lpstr>Jagdreisen</vt:lpstr>
      <vt:lpstr>Drückjagden</vt:lpstr>
      <vt:lpstr>Wildarten</vt:lpstr>
      <vt:lpstr>Wildarten 2</vt:lpstr>
      <vt:lpstr>Streckendia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Jagdstrecke</dc:title>
  <dc:subject>Streckenaufzeichnung</dc:subject>
  <dc:creator>Luck</dc:creator>
  <dc:description>Jagdstrecke seit 1964</dc:description>
  <cp:lastModifiedBy>Werner Luck</cp:lastModifiedBy>
  <cp:lastPrinted>2013-03-22T17:25:02Z</cp:lastPrinted>
  <dcterms:created xsi:type="dcterms:W3CDTF">2008-07-16T17:48:47Z</dcterms:created>
  <dcterms:modified xsi:type="dcterms:W3CDTF">2025-02-12T11:33:33Z</dcterms:modified>
</cp:coreProperties>
</file>