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tiff" ContentType="image/tiff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chartsheets/sheet1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DieseArbeitsmappe" defaultThemeVersion="124226"/>
  <bookViews>
    <workbookView xWindow="-15" yWindow="-15" windowWidth="14985" windowHeight="13425" tabRatio="614" activeTab="11"/>
  </bookViews>
  <sheets>
    <sheet name="Info" sheetId="12" r:id="rId1"/>
    <sheet name="E" sheetId="13" r:id="rId2"/>
    <sheet name="Buchungsplan" sheetId="7" r:id="rId3"/>
    <sheet name="HÜL" sheetId="3" r:id="rId4"/>
    <sheet name="Einn._Liste" sheetId="8" r:id="rId5"/>
    <sheet name="Ausg._Liste" sheetId="9" r:id="rId6"/>
    <sheet name="Einnahmen" sheetId="4" r:id="rId7"/>
    <sheet name="Ausgaben" sheetId="11" r:id="rId8"/>
    <sheet name="Feste Ausgaben" sheetId="5" r:id="rId9"/>
    <sheet name="Veränderliche Ausgaben" sheetId="6" r:id="rId10"/>
    <sheet name="Kreditkartenausgaben" sheetId="10" r:id="rId11"/>
    <sheet name="HÜL_Diagr" sheetId="14" r:id="rId12"/>
  </sheets>
  <definedNames>
    <definedName name="_xlnm._FilterDatabase" localSheetId="5" hidden="1">Ausg._Liste!$A$3:$I$313</definedName>
    <definedName name="_xlnm._FilterDatabase" localSheetId="4" hidden="1">Einn._Liste!$A$3:$G$18</definedName>
    <definedName name="_xlnm._FilterDatabase" localSheetId="10" hidden="1">Kreditkartenausgaben!$A$17:$O$146</definedName>
    <definedName name="_xlnm.Print_Titles" localSheetId="2">Buchungsplan!$2:$3</definedName>
  </definedNames>
  <calcPr calcId="145621"/>
</workbook>
</file>

<file path=xl/calcChain.xml><?xml version="1.0" encoding="utf-8"?>
<calcChain xmlns="http://schemas.openxmlformats.org/spreadsheetml/2006/main">
  <c r="B7" i="3" l="1"/>
  <c r="B6" i="3"/>
  <c r="N30" i="4" l="1"/>
  <c r="M30" i="4"/>
  <c r="L30" i="4"/>
  <c r="K30" i="4"/>
  <c r="J30" i="4"/>
  <c r="I30" i="4"/>
  <c r="H30" i="4"/>
  <c r="G30" i="4"/>
  <c r="F30" i="4"/>
  <c r="E30" i="4"/>
  <c r="D30" i="4"/>
  <c r="C30" i="4"/>
  <c r="O30" i="4" l="1"/>
  <c r="L3" i="10" l="1"/>
  <c r="N31" i="4" l="1"/>
  <c r="M31" i="4"/>
  <c r="L31" i="4"/>
  <c r="K31" i="4"/>
  <c r="J31" i="4"/>
  <c r="I31" i="4"/>
  <c r="H31" i="4"/>
  <c r="G31" i="4"/>
  <c r="F31" i="4"/>
  <c r="E31" i="4"/>
  <c r="D31" i="4"/>
  <c r="C31" i="4"/>
  <c r="O31" i="4" l="1"/>
  <c r="C14" i="10"/>
  <c r="C13" i="10"/>
  <c r="C12" i="10"/>
  <c r="C11" i="10"/>
  <c r="C10" i="10"/>
  <c r="C9" i="10"/>
  <c r="C8" i="10"/>
  <c r="C7" i="10"/>
  <c r="C6" i="10"/>
  <c r="C5" i="10"/>
  <c r="C4" i="10"/>
  <c r="C3" i="10"/>
  <c r="B15" i="3" l="1"/>
  <c r="B14" i="3"/>
  <c r="B13" i="3"/>
  <c r="B12" i="3"/>
  <c r="B11" i="3"/>
  <c r="B10" i="3"/>
  <c r="B9" i="3"/>
  <c r="B8" i="3"/>
  <c r="B5" i="3"/>
  <c r="B4" i="3"/>
  <c r="P15" i="3" l="1"/>
  <c r="O15" i="3"/>
  <c r="N15" i="3"/>
  <c r="M15" i="3"/>
  <c r="L15" i="3"/>
  <c r="K15" i="3"/>
  <c r="J15" i="3"/>
  <c r="I15" i="3"/>
  <c r="H15" i="3"/>
  <c r="G15" i="3"/>
  <c r="F15" i="3"/>
  <c r="E15" i="3"/>
  <c r="D15" i="3"/>
  <c r="C15" i="3"/>
  <c r="P14" i="3"/>
  <c r="O14" i="3"/>
  <c r="N14" i="3"/>
  <c r="M14" i="3"/>
  <c r="L14" i="3"/>
  <c r="K14" i="3"/>
  <c r="J14" i="3"/>
  <c r="I14" i="3"/>
  <c r="H14" i="3"/>
  <c r="G14" i="3"/>
  <c r="F14" i="3"/>
  <c r="E14" i="3"/>
  <c r="D14" i="3"/>
  <c r="C14" i="3"/>
  <c r="P13" i="3"/>
  <c r="O13" i="3"/>
  <c r="N13" i="3"/>
  <c r="M13" i="3"/>
  <c r="L13" i="3"/>
  <c r="K13" i="3"/>
  <c r="J13" i="3"/>
  <c r="I13" i="3"/>
  <c r="H13" i="3"/>
  <c r="G13" i="3"/>
  <c r="F13" i="3"/>
  <c r="E13" i="3"/>
  <c r="D13" i="3"/>
  <c r="C13" i="3"/>
  <c r="P12" i="3"/>
  <c r="O12" i="3"/>
  <c r="N12" i="3"/>
  <c r="M12" i="3"/>
  <c r="L12" i="3"/>
  <c r="K12" i="3"/>
  <c r="J12" i="3"/>
  <c r="I12" i="3"/>
  <c r="H12" i="3"/>
  <c r="G12" i="3"/>
  <c r="F12" i="3"/>
  <c r="E12" i="3"/>
  <c r="D12" i="3"/>
  <c r="C12" i="3"/>
  <c r="P11" i="3"/>
  <c r="O11" i="3"/>
  <c r="N11" i="3"/>
  <c r="M11" i="3"/>
  <c r="L11" i="3"/>
  <c r="K11" i="3"/>
  <c r="J11" i="3"/>
  <c r="I11" i="3"/>
  <c r="H11" i="3"/>
  <c r="G11" i="3"/>
  <c r="F11" i="3"/>
  <c r="E11" i="3"/>
  <c r="D11" i="3"/>
  <c r="C11" i="3"/>
  <c r="P10" i="3"/>
  <c r="O10" i="3"/>
  <c r="N10" i="3"/>
  <c r="M10" i="3"/>
  <c r="L10" i="3"/>
  <c r="K10" i="3"/>
  <c r="J10" i="3"/>
  <c r="I10" i="3"/>
  <c r="H10" i="3"/>
  <c r="G10" i="3"/>
  <c r="F10" i="3"/>
  <c r="E10" i="3"/>
  <c r="D10" i="3"/>
  <c r="C10" i="3"/>
  <c r="P9" i="3"/>
  <c r="O9" i="3"/>
  <c r="N9" i="3"/>
  <c r="M9" i="3"/>
  <c r="L9" i="3"/>
  <c r="K9" i="3"/>
  <c r="J9" i="3"/>
  <c r="I9" i="3"/>
  <c r="H9" i="3"/>
  <c r="G9" i="3"/>
  <c r="F9" i="3"/>
  <c r="E9" i="3"/>
  <c r="D9" i="3"/>
  <c r="C9" i="3"/>
  <c r="P8" i="3"/>
  <c r="O8" i="3"/>
  <c r="N8" i="3"/>
  <c r="M8" i="3"/>
  <c r="L8" i="3"/>
  <c r="K8" i="3"/>
  <c r="J8" i="3"/>
  <c r="I8" i="3"/>
  <c r="H8" i="3"/>
  <c r="G8" i="3"/>
  <c r="F8" i="3"/>
  <c r="E8" i="3"/>
  <c r="D8" i="3"/>
  <c r="C8" i="3"/>
  <c r="P7" i="3"/>
  <c r="O7" i="3"/>
  <c r="N7" i="3"/>
  <c r="M7" i="3"/>
  <c r="L7" i="3"/>
  <c r="K7" i="3"/>
  <c r="J7" i="3"/>
  <c r="I7" i="3"/>
  <c r="H7" i="3"/>
  <c r="G7" i="3"/>
  <c r="F7" i="3"/>
  <c r="E7" i="3"/>
  <c r="D7" i="3"/>
  <c r="C7" i="3"/>
  <c r="P6" i="3"/>
  <c r="O6" i="3"/>
  <c r="N6" i="3"/>
  <c r="M6" i="3"/>
  <c r="L6" i="3"/>
  <c r="K6" i="3"/>
  <c r="J6" i="3"/>
  <c r="I6" i="3"/>
  <c r="H6" i="3"/>
  <c r="G6" i="3"/>
  <c r="F6" i="3"/>
  <c r="E6" i="3"/>
  <c r="D6" i="3"/>
  <c r="C6" i="3"/>
  <c r="P5" i="3"/>
  <c r="O5" i="3"/>
  <c r="N5" i="3"/>
  <c r="M5" i="3"/>
  <c r="L5" i="3"/>
  <c r="K5" i="3"/>
  <c r="J5" i="3"/>
  <c r="I5" i="3"/>
  <c r="H5" i="3"/>
  <c r="G5" i="3"/>
  <c r="F5" i="3"/>
  <c r="E5" i="3"/>
  <c r="D5" i="3"/>
  <c r="C5" i="3"/>
  <c r="P4" i="3"/>
  <c r="O4" i="3"/>
  <c r="N4" i="3"/>
  <c r="M4" i="3"/>
  <c r="L4" i="3"/>
  <c r="K4" i="3"/>
  <c r="J4" i="3"/>
  <c r="I4" i="3"/>
  <c r="H4" i="3"/>
  <c r="G4" i="3"/>
  <c r="F4" i="3"/>
  <c r="E4" i="3"/>
  <c r="D4" i="3"/>
  <c r="C4" i="3"/>
  <c r="N50" i="6"/>
  <c r="M50" i="6"/>
  <c r="L50" i="6"/>
  <c r="K50" i="6"/>
  <c r="J50" i="6"/>
  <c r="I50" i="6"/>
  <c r="H50" i="6"/>
  <c r="G50" i="6"/>
  <c r="F50" i="6"/>
  <c r="E50" i="6"/>
  <c r="D50" i="6"/>
  <c r="C50" i="6"/>
  <c r="N49" i="6"/>
  <c r="M49" i="6"/>
  <c r="L49" i="6"/>
  <c r="K49" i="6"/>
  <c r="J49" i="6"/>
  <c r="I49" i="6"/>
  <c r="H49" i="6"/>
  <c r="G49" i="6"/>
  <c r="F49" i="6"/>
  <c r="E49" i="6"/>
  <c r="D49" i="6"/>
  <c r="C49" i="6"/>
  <c r="N48" i="6"/>
  <c r="M48" i="6"/>
  <c r="L48" i="6"/>
  <c r="K48" i="6"/>
  <c r="J48" i="6"/>
  <c r="I48" i="6"/>
  <c r="H48" i="6"/>
  <c r="G48" i="6"/>
  <c r="F48" i="6"/>
  <c r="E48" i="6"/>
  <c r="D48" i="6"/>
  <c r="C48" i="6"/>
  <c r="N47" i="6"/>
  <c r="M47" i="6"/>
  <c r="L47" i="6"/>
  <c r="K47" i="6"/>
  <c r="J47" i="6"/>
  <c r="I47" i="6"/>
  <c r="H47" i="6"/>
  <c r="G47" i="6"/>
  <c r="F47" i="6"/>
  <c r="E47" i="6"/>
  <c r="D47" i="6"/>
  <c r="C47" i="6"/>
  <c r="N45" i="6"/>
  <c r="M45" i="6"/>
  <c r="L45" i="6"/>
  <c r="K45" i="6"/>
  <c r="J45" i="6"/>
  <c r="I45" i="6"/>
  <c r="H45" i="6"/>
  <c r="G45" i="6"/>
  <c r="F45" i="6"/>
  <c r="E45" i="6"/>
  <c r="D45" i="6"/>
  <c r="C45" i="6"/>
  <c r="N44" i="6"/>
  <c r="M44" i="6"/>
  <c r="L44" i="6"/>
  <c r="K44" i="6"/>
  <c r="J44" i="6"/>
  <c r="I44" i="6"/>
  <c r="H44" i="6"/>
  <c r="G44" i="6"/>
  <c r="F44" i="6"/>
  <c r="E44" i="6"/>
  <c r="D44" i="6"/>
  <c r="C44" i="6"/>
  <c r="N42" i="6"/>
  <c r="M42" i="6"/>
  <c r="L42" i="6"/>
  <c r="K42" i="6"/>
  <c r="J42" i="6"/>
  <c r="I42" i="6"/>
  <c r="H42" i="6"/>
  <c r="G42" i="6"/>
  <c r="F42" i="6"/>
  <c r="E42" i="6"/>
  <c r="D42" i="6"/>
  <c r="C42" i="6"/>
  <c r="N41" i="6"/>
  <c r="M41" i="6"/>
  <c r="L41" i="6"/>
  <c r="K41" i="6"/>
  <c r="J41" i="6"/>
  <c r="I41" i="6"/>
  <c r="H41" i="6"/>
  <c r="G41" i="6"/>
  <c r="F41" i="6"/>
  <c r="E41" i="6"/>
  <c r="D41" i="6"/>
  <c r="C41" i="6"/>
  <c r="N40" i="6"/>
  <c r="M40" i="6"/>
  <c r="L40" i="6"/>
  <c r="K40" i="6"/>
  <c r="J40" i="6"/>
  <c r="I40" i="6"/>
  <c r="H40" i="6"/>
  <c r="G40" i="6"/>
  <c r="F40" i="6"/>
  <c r="E40" i="6"/>
  <c r="D40" i="6"/>
  <c r="C40" i="6"/>
  <c r="N39" i="6"/>
  <c r="M39" i="6"/>
  <c r="L39" i="6"/>
  <c r="K39" i="6"/>
  <c r="J39" i="6"/>
  <c r="I39" i="6"/>
  <c r="H39" i="6"/>
  <c r="G39" i="6"/>
  <c r="F39" i="6"/>
  <c r="E39" i="6"/>
  <c r="D39" i="6"/>
  <c r="C39" i="6"/>
  <c r="N38" i="6"/>
  <c r="M38" i="6"/>
  <c r="L38" i="6"/>
  <c r="K38" i="6"/>
  <c r="J38" i="6"/>
  <c r="I38" i="6"/>
  <c r="H38" i="6"/>
  <c r="G38" i="6"/>
  <c r="F38" i="6"/>
  <c r="E38" i="6"/>
  <c r="D38" i="6"/>
  <c r="C38" i="6"/>
  <c r="N37" i="6"/>
  <c r="M37" i="6"/>
  <c r="L37" i="6"/>
  <c r="K37" i="6"/>
  <c r="J37" i="6"/>
  <c r="I37" i="6"/>
  <c r="H37" i="6"/>
  <c r="G37" i="6"/>
  <c r="F37" i="6"/>
  <c r="E37" i="6"/>
  <c r="D37" i="6"/>
  <c r="C37" i="6"/>
  <c r="N35" i="6"/>
  <c r="M35" i="6"/>
  <c r="L35" i="6"/>
  <c r="K35" i="6"/>
  <c r="J35" i="6"/>
  <c r="I35" i="6"/>
  <c r="H35" i="6"/>
  <c r="G35" i="6"/>
  <c r="F35" i="6"/>
  <c r="E35" i="6"/>
  <c r="D35" i="6"/>
  <c r="C35" i="6"/>
  <c r="N34" i="6"/>
  <c r="M34" i="6"/>
  <c r="L34" i="6"/>
  <c r="K34" i="6"/>
  <c r="J34" i="6"/>
  <c r="I34" i="6"/>
  <c r="H34" i="6"/>
  <c r="G34" i="6"/>
  <c r="F34" i="6"/>
  <c r="E34" i="6"/>
  <c r="D34" i="6"/>
  <c r="C34" i="6"/>
  <c r="N33" i="6"/>
  <c r="M33" i="6"/>
  <c r="L33" i="6"/>
  <c r="K33" i="6"/>
  <c r="J33" i="6"/>
  <c r="I33" i="6"/>
  <c r="H33" i="6"/>
  <c r="G33" i="6"/>
  <c r="F33" i="6"/>
  <c r="E33" i="6"/>
  <c r="D33" i="6"/>
  <c r="C33" i="6"/>
  <c r="N31" i="6"/>
  <c r="M31" i="6"/>
  <c r="L31" i="6"/>
  <c r="K31" i="6"/>
  <c r="J31" i="6"/>
  <c r="I31" i="6"/>
  <c r="H31" i="6"/>
  <c r="G31" i="6"/>
  <c r="F31" i="6"/>
  <c r="E31" i="6"/>
  <c r="D31" i="6"/>
  <c r="C31" i="6"/>
  <c r="N30" i="6"/>
  <c r="M30" i="6"/>
  <c r="L30" i="6"/>
  <c r="K30" i="6"/>
  <c r="J30" i="6"/>
  <c r="I30" i="6"/>
  <c r="H30" i="6"/>
  <c r="G30" i="6"/>
  <c r="F30" i="6"/>
  <c r="E30" i="6"/>
  <c r="D30" i="6"/>
  <c r="C30" i="6"/>
  <c r="N28" i="6"/>
  <c r="M28" i="6"/>
  <c r="L28" i="6"/>
  <c r="K28" i="6"/>
  <c r="J28" i="6"/>
  <c r="I28" i="6"/>
  <c r="H28" i="6"/>
  <c r="G28" i="6"/>
  <c r="F28" i="6"/>
  <c r="E28" i="6"/>
  <c r="D28" i="6"/>
  <c r="C28" i="6"/>
  <c r="N27" i="6"/>
  <c r="M27" i="6"/>
  <c r="L27" i="6"/>
  <c r="K27" i="6"/>
  <c r="J27" i="6"/>
  <c r="I27" i="6"/>
  <c r="H27" i="6"/>
  <c r="G27" i="6"/>
  <c r="F27" i="6"/>
  <c r="E27" i="6"/>
  <c r="D27" i="6"/>
  <c r="C27" i="6"/>
  <c r="N26" i="6"/>
  <c r="M26" i="6"/>
  <c r="L26" i="6"/>
  <c r="K26" i="6"/>
  <c r="J26" i="6"/>
  <c r="I26" i="6"/>
  <c r="H26" i="6"/>
  <c r="G26" i="6"/>
  <c r="F26" i="6"/>
  <c r="E26" i="6"/>
  <c r="D26" i="6"/>
  <c r="C26" i="6"/>
  <c r="N24" i="6"/>
  <c r="M24" i="6"/>
  <c r="L24" i="6"/>
  <c r="K24" i="6"/>
  <c r="J24" i="6"/>
  <c r="I24" i="6"/>
  <c r="H24" i="6"/>
  <c r="G24" i="6"/>
  <c r="F24" i="6"/>
  <c r="E24" i="6"/>
  <c r="D24" i="6"/>
  <c r="C24" i="6"/>
  <c r="N23" i="6"/>
  <c r="M23" i="6"/>
  <c r="L23" i="6"/>
  <c r="K23" i="6"/>
  <c r="J23" i="6"/>
  <c r="I23" i="6"/>
  <c r="H23" i="6"/>
  <c r="G23" i="6"/>
  <c r="F23" i="6"/>
  <c r="E23" i="6"/>
  <c r="D23" i="6"/>
  <c r="C23" i="6"/>
  <c r="N22" i="6"/>
  <c r="M22" i="6"/>
  <c r="L22" i="6"/>
  <c r="K22" i="6"/>
  <c r="J22" i="6"/>
  <c r="I22" i="6"/>
  <c r="H22" i="6"/>
  <c r="G22" i="6"/>
  <c r="F22" i="6"/>
  <c r="E22" i="6"/>
  <c r="D22" i="6"/>
  <c r="C22" i="6"/>
  <c r="N21" i="6"/>
  <c r="M21" i="6"/>
  <c r="L21" i="6"/>
  <c r="K21" i="6"/>
  <c r="J21" i="6"/>
  <c r="I21" i="6"/>
  <c r="H21" i="6"/>
  <c r="G21" i="6"/>
  <c r="F21" i="6"/>
  <c r="E21" i="6"/>
  <c r="D21" i="6"/>
  <c r="C21" i="6"/>
  <c r="N20" i="6"/>
  <c r="M20" i="6"/>
  <c r="L20" i="6"/>
  <c r="K20" i="6"/>
  <c r="J20" i="6"/>
  <c r="I20" i="6"/>
  <c r="H20" i="6"/>
  <c r="G20" i="6"/>
  <c r="F20" i="6"/>
  <c r="E20" i="6"/>
  <c r="D20" i="6"/>
  <c r="C20" i="6"/>
  <c r="N18" i="6"/>
  <c r="M18" i="6"/>
  <c r="L18" i="6"/>
  <c r="K18" i="6"/>
  <c r="J18" i="6"/>
  <c r="I18" i="6"/>
  <c r="H18" i="6"/>
  <c r="G18" i="6"/>
  <c r="F18" i="6"/>
  <c r="E18" i="6"/>
  <c r="D18" i="6"/>
  <c r="C18" i="6"/>
  <c r="N17" i="6"/>
  <c r="M17" i="6"/>
  <c r="L17" i="6"/>
  <c r="K17" i="6"/>
  <c r="J17" i="6"/>
  <c r="I17" i="6"/>
  <c r="H17" i="6"/>
  <c r="G17" i="6"/>
  <c r="F17" i="6"/>
  <c r="E17" i="6"/>
  <c r="D17" i="6"/>
  <c r="C17" i="6"/>
  <c r="N16" i="6"/>
  <c r="M16" i="6"/>
  <c r="L16" i="6"/>
  <c r="K16" i="6"/>
  <c r="J16" i="6"/>
  <c r="I16" i="6"/>
  <c r="H16" i="6"/>
  <c r="G16" i="6"/>
  <c r="F16" i="6"/>
  <c r="E16" i="6"/>
  <c r="D16" i="6"/>
  <c r="C16" i="6"/>
  <c r="N15" i="6"/>
  <c r="M15" i="6"/>
  <c r="L15" i="6"/>
  <c r="K15" i="6"/>
  <c r="J15" i="6"/>
  <c r="I15" i="6"/>
  <c r="H15" i="6"/>
  <c r="G15" i="6"/>
  <c r="F15" i="6"/>
  <c r="E15" i="6"/>
  <c r="D15" i="6"/>
  <c r="C15" i="6"/>
  <c r="N13" i="6"/>
  <c r="M13" i="6"/>
  <c r="L13" i="6"/>
  <c r="K13" i="6"/>
  <c r="J13" i="6"/>
  <c r="I13" i="6"/>
  <c r="H13" i="6"/>
  <c r="G13" i="6"/>
  <c r="F13" i="6"/>
  <c r="E13" i="6"/>
  <c r="D13" i="6"/>
  <c r="C13" i="6"/>
  <c r="N12" i="6"/>
  <c r="M12" i="6"/>
  <c r="L12" i="6"/>
  <c r="K12" i="6"/>
  <c r="J12" i="6"/>
  <c r="I12" i="6"/>
  <c r="H12" i="6"/>
  <c r="G12" i="6"/>
  <c r="F12" i="6"/>
  <c r="E12" i="6"/>
  <c r="D12" i="6"/>
  <c r="C12" i="6"/>
  <c r="N11" i="6"/>
  <c r="M11" i="6"/>
  <c r="L11" i="6"/>
  <c r="K11" i="6"/>
  <c r="J11" i="6"/>
  <c r="I11" i="6"/>
  <c r="H11" i="6"/>
  <c r="G11" i="6"/>
  <c r="F11" i="6"/>
  <c r="E11" i="6"/>
  <c r="D11" i="6"/>
  <c r="C11" i="6"/>
  <c r="N10" i="6"/>
  <c r="M10" i="6"/>
  <c r="L10" i="6"/>
  <c r="K10" i="6"/>
  <c r="J10" i="6"/>
  <c r="I10" i="6"/>
  <c r="H10" i="6"/>
  <c r="G10" i="6"/>
  <c r="F10" i="6"/>
  <c r="E10" i="6"/>
  <c r="D10" i="6"/>
  <c r="C10" i="6"/>
  <c r="N9" i="6"/>
  <c r="M9" i="6"/>
  <c r="L9" i="6"/>
  <c r="K9" i="6"/>
  <c r="J9" i="6"/>
  <c r="I9" i="6"/>
  <c r="H9" i="6"/>
  <c r="G9" i="6"/>
  <c r="F9" i="6"/>
  <c r="E9" i="6"/>
  <c r="D9" i="6"/>
  <c r="C9" i="6"/>
  <c r="N8" i="6"/>
  <c r="M8" i="6"/>
  <c r="L8" i="6"/>
  <c r="K8" i="6"/>
  <c r="J8" i="6"/>
  <c r="I8" i="6"/>
  <c r="H8" i="6"/>
  <c r="G8" i="6"/>
  <c r="F8" i="6"/>
  <c r="E8" i="6"/>
  <c r="D8" i="6"/>
  <c r="C8" i="6"/>
  <c r="N46" i="5"/>
  <c r="M46" i="5"/>
  <c r="L46" i="5"/>
  <c r="K46" i="5"/>
  <c r="J46" i="5"/>
  <c r="I46" i="5"/>
  <c r="H46" i="5"/>
  <c r="G46" i="5"/>
  <c r="F46" i="5"/>
  <c r="E46" i="5"/>
  <c r="D46" i="5"/>
  <c r="C46" i="5"/>
  <c r="N45" i="5"/>
  <c r="M45" i="5"/>
  <c r="L45" i="5"/>
  <c r="K45" i="5"/>
  <c r="J45" i="5"/>
  <c r="I45" i="5"/>
  <c r="H45" i="5"/>
  <c r="G45" i="5"/>
  <c r="F45" i="5"/>
  <c r="E45" i="5"/>
  <c r="D45" i="5"/>
  <c r="C45" i="5"/>
  <c r="N44" i="5"/>
  <c r="M44" i="5"/>
  <c r="L44" i="5"/>
  <c r="K44" i="5"/>
  <c r="J44" i="5"/>
  <c r="I44" i="5"/>
  <c r="H44" i="5"/>
  <c r="G44" i="5"/>
  <c r="F44" i="5"/>
  <c r="E44" i="5"/>
  <c r="D44" i="5"/>
  <c r="C44" i="5"/>
  <c r="N43" i="5"/>
  <c r="M43" i="5"/>
  <c r="L43" i="5"/>
  <c r="K43" i="5"/>
  <c r="J43" i="5"/>
  <c r="I43" i="5"/>
  <c r="H43" i="5"/>
  <c r="G43" i="5"/>
  <c r="F43" i="5"/>
  <c r="E43" i="5"/>
  <c r="D43" i="5"/>
  <c r="C43" i="5"/>
  <c r="N42" i="5"/>
  <c r="M42" i="5"/>
  <c r="L42" i="5"/>
  <c r="K42" i="5"/>
  <c r="J42" i="5"/>
  <c r="I42" i="5"/>
  <c r="H42" i="5"/>
  <c r="G42" i="5"/>
  <c r="F42" i="5"/>
  <c r="E42" i="5"/>
  <c r="D42" i="5"/>
  <c r="C42" i="5"/>
  <c r="N41" i="5"/>
  <c r="M41" i="5"/>
  <c r="L41" i="5"/>
  <c r="K41" i="5"/>
  <c r="J41" i="5"/>
  <c r="I41" i="5"/>
  <c r="H41" i="5"/>
  <c r="G41" i="5"/>
  <c r="F41" i="5"/>
  <c r="E41" i="5"/>
  <c r="D41" i="5"/>
  <c r="C41" i="5"/>
  <c r="N40" i="5"/>
  <c r="M40" i="5"/>
  <c r="L40" i="5"/>
  <c r="K40" i="5"/>
  <c r="J40" i="5"/>
  <c r="I40" i="5"/>
  <c r="H40" i="5"/>
  <c r="G40" i="5"/>
  <c r="F40" i="5"/>
  <c r="E40" i="5"/>
  <c r="D40" i="5"/>
  <c r="C40" i="5"/>
  <c r="N38" i="5"/>
  <c r="M38" i="5"/>
  <c r="L38" i="5"/>
  <c r="K38" i="5"/>
  <c r="J38" i="5"/>
  <c r="I38" i="5"/>
  <c r="H38" i="5"/>
  <c r="G38" i="5"/>
  <c r="F38" i="5"/>
  <c r="E38" i="5"/>
  <c r="D38" i="5"/>
  <c r="C38" i="5"/>
  <c r="N37" i="5"/>
  <c r="M37" i="5"/>
  <c r="L37" i="5"/>
  <c r="K37" i="5"/>
  <c r="J37" i="5"/>
  <c r="I37" i="5"/>
  <c r="H37" i="5"/>
  <c r="G37" i="5"/>
  <c r="F37" i="5"/>
  <c r="E37" i="5"/>
  <c r="D37" i="5"/>
  <c r="C37" i="5"/>
  <c r="N36" i="5"/>
  <c r="M36" i="5"/>
  <c r="L36" i="5"/>
  <c r="K36" i="5"/>
  <c r="J36" i="5"/>
  <c r="I36" i="5"/>
  <c r="H36" i="5"/>
  <c r="G36" i="5"/>
  <c r="F36" i="5"/>
  <c r="E36" i="5"/>
  <c r="D36" i="5"/>
  <c r="C36" i="5"/>
  <c r="N35" i="5"/>
  <c r="M35" i="5"/>
  <c r="L35" i="5"/>
  <c r="K35" i="5"/>
  <c r="J35" i="5"/>
  <c r="I35" i="5"/>
  <c r="H35" i="5"/>
  <c r="G35" i="5"/>
  <c r="F35" i="5"/>
  <c r="E35" i="5"/>
  <c r="D35" i="5"/>
  <c r="C35" i="5"/>
  <c r="N33" i="5"/>
  <c r="M33" i="5"/>
  <c r="L33" i="5"/>
  <c r="K33" i="5"/>
  <c r="J33" i="5"/>
  <c r="I33" i="5"/>
  <c r="H33" i="5"/>
  <c r="G33" i="5"/>
  <c r="F33" i="5"/>
  <c r="E33" i="5"/>
  <c r="D33" i="5"/>
  <c r="C33" i="5"/>
  <c r="N32" i="5"/>
  <c r="M32" i="5"/>
  <c r="L32" i="5"/>
  <c r="K32" i="5"/>
  <c r="J32" i="5"/>
  <c r="I32" i="5"/>
  <c r="H32" i="5"/>
  <c r="G32" i="5"/>
  <c r="F32" i="5"/>
  <c r="E32" i="5"/>
  <c r="D32" i="5"/>
  <c r="C32" i="5"/>
  <c r="N31" i="5"/>
  <c r="M31" i="5"/>
  <c r="L31" i="5"/>
  <c r="K31" i="5"/>
  <c r="J31" i="5"/>
  <c r="I31" i="5"/>
  <c r="H31" i="5"/>
  <c r="G31" i="5"/>
  <c r="F31" i="5"/>
  <c r="E31" i="5"/>
  <c r="D31" i="5"/>
  <c r="C31" i="5"/>
  <c r="N29" i="5"/>
  <c r="M29" i="5"/>
  <c r="L29" i="5"/>
  <c r="K29" i="5"/>
  <c r="J29" i="5"/>
  <c r="I29" i="5"/>
  <c r="H29" i="5"/>
  <c r="G29" i="5"/>
  <c r="F29" i="5"/>
  <c r="E29" i="5"/>
  <c r="D29" i="5"/>
  <c r="C29" i="5"/>
  <c r="N28" i="5"/>
  <c r="M28" i="5"/>
  <c r="L28" i="5"/>
  <c r="K28" i="5"/>
  <c r="J28" i="5"/>
  <c r="I28" i="5"/>
  <c r="H28" i="5"/>
  <c r="G28" i="5"/>
  <c r="F28" i="5"/>
  <c r="E28" i="5"/>
  <c r="D28" i="5"/>
  <c r="C28" i="5"/>
  <c r="N26" i="5"/>
  <c r="M26" i="5"/>
  <c r="L26" i="5"/>
  <c r="K26" i="5"/>
  <c r="J26" i="5"/>
  <c r="I26" i="5"/>
  <c r="H26" i="5"/>
  <c r="G26" i="5"/>
  <c r="F26" i="5"/>
  <c r="E26" i="5"/>
  <c r="D26" i="5"/>
  <c r="C26" i="5"/>
  <c r="N25" i="5"/>
  <c r="M25" i="5"/>
  <c r="L25" i="5"/>
  <c r="K25" i="5"/>
  <c r="J25" i="5"/>
  <c r="I25" i="5"/>
  <c r="H25" i="5"/>
  <c r="G25" i="5"/>
  <c r="F25" i="5"/>
  <c r="E25" i="5"/>
  <c r="D25" i="5"/>
  <c r="C25" i="5"/>
  <c r="N23" i="5"/>
  <c r="M23" i="5"/>
  <c r="L23" i="5"/>
  <c r="K23" i="5"/>
  <c r="J23" i="5"/>
  <c r="I23" i="5"/>
  <c r="H23" i="5"/>
  <c r="G23" i="5"/>
  <c r="F23" i="5"/>
  <c r="E23" i="5"/>
  <c r="D23" i="5"/>
  <c r="C23" i="5"/>
  <c r="N22" i="5"/>
  <c r="M22" i="5"/>
  <c r="L22" i="5"/>
  <c r="K22" i="5"/>
  <c r="J22" i="5"/>
  <c r="I22" i="5"/>
  <c r="H22" i="5"/>
  <c r="G22" i="5"/>
  <c r="F22" i="5"/>
  <c r="E22" i="5"/>
  <c r="D22" i="5"/>
  <c r="C22" i="5"/>
  <c r="N21" i="5"/>
  <c r="M21" i="5"/>
  <c r="L21" i="5"/>
  <c r="K21" i="5"/>
  <c r="J21" i="5"/>
  <c r="I21" i="5"/>
  <c r="H21" i="5"/>
  <c r="G21" i="5"/>
  <c r="F21" i="5"/>
  <c r="E21" i="5"/>
  <c r="D21" i="5"/>
  <c r="C21" i="5"/>
  <c r="N20" i="5"/>
  <c r="M20" i="5"/>
  <c r="L20" i="5"/>
  <c r="K20" i="5"/>
  <c r="J20" i="5"/>
  <c r="I20" i="5"/>
  <c r="H20" i="5"/>
  <c r="G20" i="5"/>
  <c r="F20" i="5"/>
  <c r="E20" i="5"/>
  <c r="D20" i="5"/>
  <c r="C20" i="5"/>
  <c r="N18" i="5"/>
  <c r="M18" i="5"/>
  <c r="L18" i="5"/>
  <c r="K18" i="5"/>
  <c r="J18" i="5"/>
  <c r="I18" i="5"/>
  <c r="H18" i="5"/>
  <c r="G18" i="5"/>
  <c r="F18" i="5"/>
  <c r="E18" i="5"/>
  <c r="D18" i="5"/>
  <c r="C18" i="5"/>
  <c r="N17" i="5"/>
  <c r="M17" i="5"/>
  <c r="L17" i="5"/>
  <c r="K17" i="5"/>
  <c r="J17" i="5"/>
  <c r="I17" i="5"/>
  <c r="H17" i="5"/>
  <c r="G17" i="5"/>
  <c r="F17" i="5"/>
  <c r="E17" i="5"/>
  <c r="D17" i="5"/>
  <c r="C17" i="5"/>
  <c r="N15" i="5"/>
  <c r="M15" i="5"/>
  <c r="L15" i="5"/>
  <c r="K15" i="5"/>
  <c r="J15" i="5"/>
  <c r="I15" i="5"/>
  <c r="H15" i="5"/>
  <c r="G15" i="5"/>
  <c r="F15" i="5"/>
  <c r="E15" i="5"/>
  <c r="D15" i="5"/>
  <c r="C15" i="5"/>
  <c r="N14" i="5"/>
  <c r="M14" i="5"/>
  <c r="L14" i="5"/>
  <c r="K14" i="5"/>
  <c r="J14" i="5"/>
  <c r="I14" i="5"/>
  <c r="H14" i="5"/>
  <c r="G14" i="5"/>
  <c r="F14" i="5"/>
  <c r="E14" i="5"/>
  <c r="D14" i="5"/>
  <c r="C14" i="5"/>
  <c r="N13" i="5"/>
  <c r="M13" i="5"/>
  <c r="L13" i="5"/>
  <c r="K13" i="5"/>
  <c r="J13" i="5"/>
  <c r="I13" i="5"/>
  <c r="H13" i="5"/>
  <c r="G13" i="5"/>
  <c r="F13" i="5"/>
  <c r="E13" i="5"/>
  <c r="D13" i="5"/>
  <c r="C13" i="5"/>
  <c r="N12" i="5"/>
  <c r="M12" i="5"/>
  <c r="L12" i="5"/>
  <c r="K12" i="5"/>
  <c r="J12" i="5"/>
  <c r="I12" i="5"/>
  <c r="H12" i="5"/>
  <c r="G12" i="5"/>
  <c r="F12" i="5"/>
  <c r="E12" i="5"/>
  <c r="D12" i="5"/>
  <c r="C12" i="5"/>
  <c r="N6" i="6"/>
  <c r="M6" i="6"/>
  <c r="L6" i="6"/>
  <c r="K6" i="6"/>
  <c r="J6" i="6"/>
  <c r="I6" i="6"/>
  <c r="H6" i="6"/>
  <c r="G6" i="6"/>
  <c r="F6" i="6"/>
  <c r="E6" i="6"/>
  <c r="D6" i="6"/>
  <c r="C6" i="6"/>
  <c r="N5" i="6"/>
  <c r="M5" i="6"/>
  <c r="L5" i="6"/>
  <c r="K5" i="6"/>
  <c r="J5" i="6"/>
  <c r="I5" i="6"/>
  <c r="H5" i="6"/>
  <c r="G5" i="6"/>
  <c r="F5" i="6"/>
  <c r="E5" i="6"/>
  <c r="D5" i="6"/>
  <c r="C5" i="6"/>
  <c r="N4" i="6"/>
  <c r="M4" i="6"/>
  <c r="L4" i="6"/>
  <c r="K4" i="6"/>
  <c r="J4" i="6"/>
  <c r="I4" i="6"/>
  <c r="H4" i="6"/>
  <c r="G4" i="6"/>
  <c r="F4" i="6"/>
  <c r="E4" i="6"/>
  <c r="D4" i="6"/>
  <c r="C4" i="6"/>
  <c r="N10" i="5"/>
  <c r="M10" i="5"/>
  <c r="L10" i="5"/>
  <c r="K10" i="5"/>
  <c r="J10" i="5"/>
  <c r="I10" i="5"/>
  <c r="H10" i="5"/>
  <c r="G10" i="5"/>
  <c r="F10" i="5"/>
  <c r="E10" i="5"/>
  <c r="D10" i="5"/>
  <c r="C10" i="5"/>
  <c r="N9" i="5"/>
  <c r="M9" i="5"/>
  <c r="L9" i="5"/>
  <c r="K9" i="5"/>
  <c r="J9" i="5"/>
  <c r="I9" i="5"/>
  <c r="H9" i="5"/>
  <c r="G9" i="5"/>
  <c r="F9" i="5"/>
  <c r="E9" i="5"/>
  <c r="D9" i="5"/>
  <c r="C9" i="5"/>
  <c r="N8" i="5"/>
  <c r="M8" i="5"/>
  <c r="L8" i="5"/>
  <c r="K8" i="5"/>
  <c r="J8" i="5"/>
  <c r="I8" i="5"/>
  <c r="H8" i="5"/>
  <c r="G8" i="5"/>
  <c r="F8" i="5"/>
  <c r="E8" i="5"/>
  <c r="D8" i="5"/>
  <c r="C8" i="5"/>
  <c r="N7" i="5"/>
  <c r="M7" i="5"/>
  <c r="L7" i="5"/>
  <c r="K7" i="5"/>
  <c r="J7" i="5"/>
  <c r="I7" i="5"/>
  <c r="H7" i="5"/>
  <c r="G7" i="5"/>
  <c r="F7" i="5"/>
  <c r="E7" i="5"/>
  <c r="D7" i="5"/>
  <c r="C7" i="5"/>
  <c r="N6" i="5"/>
  <c r="M6" i="5"/>
  <c r="L6" i="5"/>
  <c r="K6" i="5"/>
  <c r="J6" i="5"/>
  <c r="I6" i="5"/>
  <c r="H6" i="5"/>
  <c r="G6" i="5"/>
  <c r="F6" i="5"/>
  <c r="E6" i="5"/>
  <c r="D6" i="5"/>
  <c r="C6" i="5"/>
  <c r="N5" i="5"/>
  <c r="M5" i="5"/>
  <c r="L5" i="5"/>
  <c r="K5" i="5"/>
  <c r="J5" i="5"/>
  <c r="I5" i="5"/>
  <c r="H5" i="5"/>
  <c r="G5" i="5"/>
  <c r="F5" i="5"/>
  <c r="E5" i="5"/>
  <c r="D5" i="5"/>
  <c r="C5" i="5"/>
  <c r="N4" i="5"/>
  <c r="M4" i="5"/>
  <c r="L4" i="5"/>
  <c r="K4" i="5"/>
  <c r="J4" i="5"/>
  <c r="I4" i="5"/>
  <c r="H4" i="5"/>
  <c r="G4" i="5"/>
  <c r="F4" i="5"/>
  <c r="E4" i="5"/>
  <c r="D4" i="5"/>
  <c r="C4" i="5"/>
  <c r="H2" i="9" l="1"/>
  <c r="O46" i="5" l="1"/>
  <c r="K14" i="10" l="1"/>
  <c r="K13" i="10"/>
  <c r="K12" i="10"/>
  <c r="K11" i="10"/>
  <c r="K10" i="10"/>
  <c r="K9" i="10"/>
  <c r="K8" i="10"/>
  <c r="K7" i="10"/>
  <c r="K6" i="10"/>
  <c r="K5" i="10"/>
  <c r="K4" i="10"/>
  <c r="K3" i="10"/>
  <c r="K15" i="10" l="1"/>
  <c r="J14" i="10" l="1"/>
  <c r="J13" i="10"/>
  <c r="J12" i="10"/>
  <c r="J11" i="10"/>
  <c r="J10" i="10"/>
  <c r="J9" i="10"/>
  <c r="J8" i="10"/>
  <c r="J7" i="10"/>
  <c r="J6" i="10"/>
  <c r="J5" i="10"/>
  <c r="J4" i="10"/>
  <c r="J3" i="10"/>
  <c r="O33" i="5" l="1"/>
  <c r="O42" i="6"/>
  <c r="O10" i="5"/>
  <c r="O24" i="6"/>
  <c r="Q5" i="3" l="1"/>
  <c r="Q6" i="3"/>
  <c r="Q7" i="3"/>
  <c r="Q8" i="3"/>
  <c r="Q9" i="3"/>
  <c r="Q10" i="3"/>
  <c r="Q11" i="3"/>
  <c r="Q12" i="3"/>
  <c r="Q13" i="3"/>
  <c r="Q14" i="3"/>
  <c r="Q15" i="3"/>
  <c r="D14" i="4"/>
  <c r="D10" i="4"/>
  <c r="D9" i="4"/>
  <c r="R5" i="3" l="1"/>
  <c r="E46" i="6" l="1"/>
  <c r="E16" i="11" s="1"/>
  <c r="O49" i="6"/>
  <c r="H46" i="6"/>
  <c r="H16" i="11" s="1"/>
  <c r="L46" i="6"/>
  <c r="L16" i="11" s="1"/>
  <c r="O50" i="6"/>
  <c r="K46" i="6"/>
  <c r="K16" i="11" s="1"/>
  <c r="O48" i="6"/>
  <c r="O47" i="6"/>
  <c r="G46" i="6"/>
  <c r="G16" i="11" s="1"/>
  <c r="I46" i="6"/>
  <c r="I16" i="11" s="1"/>
  <c r="M46" i="6"/>
  <c r="M16" i="11" s="1"/>
  <c r="N46" i="6"/>
  <c r="N16" i="11" s="1"/>
  <c r="J46" i="6"/>
  <c r="J16" i="11" s="1"/>
  <c r="F46" i="6"/>
  <c r="F16" i="11" s="1"/>
  <c r="D46" i="6"/>
  <c r="D16" i="11" s="1"/>
  <c r="C46" i="6"/>
  <c r="C16" i="11" s="1"/>
  <c r="L14" i="10"/>
  <c r="I14" i="10"/>
  <c r="H14" i="10"/>
  <c r="G14" i="10"/>
  <c r="F14" i="10"/>
  <c r="E14" i="10"/>
  <c r="D14" i="10"/>
  <c r="L13" i="10"/>
  <c r="I13" i="10"/>
  <c r="H13" i="10"/>
  <c r="G13" i="10"/>
  <c r="F13" i="10"/>
  <c r="E13" i="10"/>
  <c r="D13" i="10"/>
  <c r="L12" i="10"/>
  <c r="I12" i="10"/>
  <c r="H12" i="10"/>
  <c r="G12" i="10"/>
  <c r="F12" i="10"/>
  <c r="E12" i="10"/>
  <c r="D12" i="10"/>
  <c r="L11" i="10"/>
  <c r="I11" i="10"/>
  <c r="H11" i="10"/>
  <c r="G11" i="10"/>
  <c r="F11" i="10"/>
  <c r="E11" i="10"/>
  <c r="D11" i="10"/>
  <c r="L10" i="10"/>
  <c r="I10" i="10"/>
  <c r="H10" i="10"/>
  <c r="G10" i="10"/>
  <c r="F10" i="10"/>
  <c r="E10" i="10"/>
  <c r="D10" i="10"/>
  <c r="L9" i="10"/>
  <c r="I9" i="10"/>
  <c r="H9" i="10"/>
  <c r="G9" i="10"/>
  <c r="F9" i="10"/>
  <c r="E9" i="10"/>
  <c r="D9" i="10"/>
  <c r="L8" i="10"/>
  <c r="I8" i="10"/>
  <c r="H8" i="10"/>
  <c r="G8" i="10"/>
  <c r="F8" i="10"/>
  <c r="E8" i="10"/>
  <c r="D8" i="10"/>
  <c r="L7" i="10"/>
  <c r="I7" i="10"/>
  <c r="H7" i="10"/>
  <c r="G7" i="10"/>
  <c r="F7" i="10"/>
  <c r="E7" i="10"/>
  <c r="D7" i="10"/>
  <c r="L6" i="10"/>
  <c r="I6" i="10"/>
  <c r="H6" i="10"/>
  <c r="G6" i="10"/>
  <c r="F6" i="10"/>
  <c r="E6" i="10"/>
  <c r="D6" i="10"/>
  <c r="L5" i="10"/>
  <c r="I5" i="10"/>
  <c r="H5" i="10"/>
  <c r="G5" i="10"/>
  <c r="F5" i="10"/>
  <c r="E5" i="10"/>
  <c r="D5" i="10"/>
  <c r="L4" i="10"/>
  <c r="I4" i="10"/>
  <c r="H4" i="10"/>
  <c r="G4" i="10"/>
  <c r="F4" i="10"/>
  <c r="E4" i="10"/>
  <c r="D4" i="10"/>
  <c r="I3" i="10"/>
  <c r="H3" i="10"/>
  <c r="G3" i="10"/>
  <c r="F3" i="10"/>
  <c r="E3" i="10"/>
  <c r="D3" i="10" a="1"/>
  <c r="D3" i="10" s="1"/>
  <c r="G15" i="10" l="1"/>
  <c r="E15" i="10"/>
  <c r="J15" i="10"/>
  <c r="O46" i="6"/>
  <c r="O16" i="11"/>
  <c r="D15" i="10"/>
  <c r="F15" i="10"/>
  <c r="H15" i="10"/>
  <c r="I15" i="10"/>
  <c r="L15" i="10"/>
  <c r="Q1" i="11" l="1"/>
  <c r="Q2" i="11" s="1"/>
  <c r="O34" i="6" l="1"/>
  <c r="O35" i="6"/>
  <c r="M4" i="10"/>
  <c r="M5" i="10"/>
  <c r="M6" i="10"/>
  <c r="M7" i="10"/>
  <c r="M8" i="10"/>
  <c r="M9" i="10"/>
  <c r="M10" i="10"/>
  <c r="M11" i="10"/>
  <c r="M12" i="10"/>
  <c r="M13" i="10"/>
  <c r="M14" i="10"/>
  <c r="M3" i="10"/>
  <c r="O16" i="3"/>
  <c r="N16" i="3"/>
  <c r="M16" i="3"/>
  <c r="L16" i="3"/>
  <c r="K16" i="3"/>
  <c r="J16" i="3"/>
  <c r="I16" i="3"/>
  <c r="H16" i="3"/>
  <c r="G16" i="3"/>
  <c r="F16" i="3"/>
  <c r="E16" i="3"/>
  <c r="R15" i="3"/>
  <c r="R14" i="3"/>
  <c r="R13" i="3"/>
  <c r="R12" i="3"/>
  <c r="R11" i="3"/>
  <c r="R10" i="3"/>
  <c r="R9" i="3"/>
  <c r="R8" i="3"/>
  <c r="R7" i="3"/>
  <c r="R6" i="3"/>
  <c r="C16" i="3" l="1"/>
  <c r="Q4" i="3"/>
  <c r="Q16" i="3" s="1"/>
  <c r="B16" i="3"/>
  <c r="M15" i="10"/>
  <c r="D16" i="3"/>
  <c r="C15" i="10"/>
  <c r="O41" i="6"/>
  <c r="N29" i="4"/>
  <c r="M29" i="4"/>
  <c r="L29" i="4"/>
  <c r="K29" i="4"/>
  <c r="J29" i="4"/>
  <c r="I29" i="4"/>
  <c r="H29" i="4"/>
  <c r="G29" i="4"/>
  <c r="F29" i="4"/>
  <c r="E29" i="4"/>
  <c r="D29" i="4"/>
  <c r="C29" i="4"/>
  <c r="N28" i="4"/>
  <c r="M28" i="4"/>
  <c r="L28" i="4"/>
  <c r="K28" i="4"/>
  <c r="J28" i="4"/>
  <c r="I28" i="4"/>
  <c r="H28" i="4"/>
  <c r="G28" i="4"/>
  <c r="F28" i="4"/>
  <c r="E28" i="4"/>
  <c r="D28" i="4"/>
  <c r="C28" i="4"/>
  <c r="N27" i="4"/>
  <c r="M27" i="4"/>
  <c r="L27" i="4"/>
  <c r="K27" i="4"/>
  <c r="J27" i="4"/>
  <c r="I27" i="4"/>
  <c r="H27" i="4"/>
  <c r="G27" i="4"/>
  <c r="F27" i="4"/>
  <c r="E27" i="4"/>
  <c r="D27" i="4"/>
  <c r="C27" i="4"/>
  <c r="N26" i="4"/>
  <c r="N25" i="4" s="1"/>
  <c r="M26" i="4"/>
  <c r="M25" i="4" s="1"/>
  <c r="L26" i="4"/>
  <c r="L25" i="4" s="1"/>
  <c r="K26" i="4"/>
  <c r="K25" i="4" s="1"/>
  <c r="J26" i="4"/>
  <c r="J25" i="4" s="1"/>
  <c r="I26" i="4"/>
  <c r="I25" i="4" s="1"/>
  <c r="H26" i="4"/>
  <c r="H25" i="4" s="1"/>
  <c r="G26" i="4"/>
  <c r="G25" i="4" s="1"/>
  <c r="F26" i="4"/>
  <c r="F25" i="4" s="1"/>
  <c r="E26" i="4"/>
  <c r="E25" i="4" s="1"/>
  <c r="D26" i="4"/>
  <c r="D25" i="4" s="1"/>
  <c r="C26" i="4"/>
  <c r="C25" i="4" s="1"/>
  <c r="N24" i="4"/>
  <c r="M24" i="4"/>
  <c r="L24" i="4"/>
  <c r="K24" i="4"/>
  <c r="J24" i="4"/>
  <c r="I24" i="4"/>
  <c r="H24" i="4"/>
  <c r="G24" i="4"/>
  <c r="F24" i="4"/>
  <c r="E24" i="4"/>
  <c r="D24" i="4"/>
  <c r="C24" i="4"/>
  <c r="N23" i="4"/>
  <c r="M23" i="4"/>
  <c r="L23" i="4"/>
  <c r="K23" i="4"/>
  <c r="J23" i="4"/>
  <c r="I23" i="4"/>
  <c r="H23" i="4"/>
  <c r="G23" i="4"/>
  <c r="F23" i="4"/>
  <c r="E23" i="4"/>
  <c r="D23" i="4"/>
  <c r="C23" i="4"/>
  <c r="N22" i="4"/>
  <c r="M22" i="4"/>
  <c r="L22" i="4"/>
  <c r="K22" i="4"/>
  <c r="J22" i="4"/>
  <c r="I22" i="4"/>
  <c r="H22" i="4"/>
  <c r="G22" i="4"/>
  <c r="F22" i="4"/>
  <c r="E22" i="4"/>
  <c r="D22" i="4"/>
  <c r="C22" i="4"/>
  <c r="N21" i="4"/>
  <c r="M21" i="4"/>
  <c r="L21" i="4"/>
  <c r="K21" i="4"/>
  <c r="J21" i="4"/>
  <c r="I21" i="4"/>
  <c r="H21" i="4"/>
  <c r="G21" i="4"/>
  <c r="F21" i="4"/>
  <c r="E21" i="4"/>
  <c r="D21" i="4"/>
  <c r="C21" i="4"/>
  <c r="N20" i="4"/>
  <c r="M20" i="4"/>
  <c r="L20" i="4"/>
  <c r="K20" i="4"/>
  <c r="J20" i="4"/>
  <c r="I20" i="4"/>
  <c r="H20" i="4"/>
  <c r="G20" i="4"/>
  <c r="F20" i="4"/>
  <c r="E20" i="4"/>
  <c r="D20" i="4"/>
  <c r="C20" i="4"/>
  <c r="N18" i="4"/>
  <c r="M18" i="4"/>
  <c r="L18" i="4"/>
  <c r="K18" i="4"/>
  <c r="J18" i="4"/>
  <c r="I18" i="4"/>
  <c r="H18" i="4"/>
  <c r="G18" i="4"/>
  <c r="F18" i="4"/>
  <c r="E18" i="4"/>
  <c r="D18" i="4"/>
  <c r="C18" i="4"/>
  <c r="N17" i="4"/>
  <c r="M17" i="4"/>
  <c r="L17" i="4"/>
  <c r="K17" i="4"/>
  <c r="J17" i="4"/>
  <c r="I17" i="4"/>
  <c r="H17" i="4"/>
  <c r="G17" i="4"/>
  <c r="F17" i="4"/>
  <c r="E17" i="4"/>
  <c r="D17" i="4"/>
  <c r="C17" i="4"/>
  <c r="N16" i="4"/>
  <c r="M16" i="4"/>
  <c r="L16" i="4"/>
  <c r="K16" i="4"/>
  <c r="J16" i="4"/>
  <c r="I16" i="4"/>
  <c r="H16" i="4"/>
  <c r="G16" i="4"/>
  <c r="F16" i="4"/>
  <c r="E16" i="4"/>
  <c r="D16" i="4"/>
  <c r="C16" i="4"/>
  <c r="N14" i="4"/>
  <c r="M14" i="4"/>
  <c r="L14" i="4"/>
  <c r="K14" i="4"/>
  <c r="J14" i="4"/>
  <c r="I14" i="4"/>
  <c r="H14" i="4"/>
  <c r="G14" i="4"/>
  <c r="F14" i="4"/>
  <c r="E14" i="4"/>
  <c r="C14" i="4"/>
  <c r="N13" i="4"/>
  <c r="M13" i="4"/>
  <c r="L13" i="4"/>
  <c r="K13" i="4"/>
  <c r="J13" i="4"/>
  <c r="I13" i="4"/>
  <c r="H13" i="4"/>
  <c r="G13" i="4"/>
  <c r="F13" i="4"/>
  <c r="E13" i="4"/>
  <c r="D13" i="4"/>
  <c r="C13" i="4"/>
  <c r="N11" i="4"/>
  <c r="M11" i="4"/>
  <c r="L11" i="4"/>
  <c r="K11" i="4"/>
  <c r="J11" i="4"/>
  <c r="I11" i="4"/>
  <c r="H11" i="4"/>
  <c r="G11" i="4"/>
  <c r="F11" i="4"/>
  <c r="E11" i="4"/>
  <c r="D11" i="4"/>
  <c r="C11" i="4"/>
  <c r="N12" i="4"/>
  <c r="M12" i="4"/>
  <c r="L12" i="4"/>
  <c r="K12" i="4"/>
  <c r="J12" i="4"/>
  <c r="I12" i="4"/>
  <c r="H12" i="4"/>
  <c r="G12" i="4"/>
  <c r="F12" i="4"/>
  <c r="E12" i="4"/>
  <c r="D12" i="4"/>
  <c r="C12" i="4"/>
  <c r="N10" i="4"/>
  <c r="M10" i="4"/>
  <c r="L10" i="4"/>
  <c r="K10" i="4"/>
  <c r="J10" i="4"/>
  <c r="I10" i="4"/>
  <c r="H10" i="4"/>
  <c r="G10" i="4"/>
  <c r="F10" i="4"/>
  <c r="E10" i="4"/>
  <c r="C10" i="4"/>
  <c r="N9" i="4"/>
  <c r="M9" i="4"/>
  <c r="L9" i="4"/>
  <c r="K9" i="4"/>
  <c r="J9" i="4"/>
  <c r="I9" i="4"/>
  <c r="H9" i="4"/>
  <c r="G9" i="4"/>
  <c r="F9" i="4"/>
  <c r="E9" i="4"/>
  <c r="C9" i="4"/>
  <c r="N7" i="4"/>
  <c r="M7" i="4"/>
  <c r="L7" i="4"/>
  <c r="K7" i="4"/>
  <c r="J7" i="4"/>
  <c r="I7" i="4"/>
  <c r="H7" i="4"/>
  <c r="G7" i="4"/>
  <c r="F7" i="4"/>
  <c r="E7" i="4"/>
  <c r="D7" i="4"/>
  <c r="C7" i="4"/>
  <c r="N6" i="4"/>
  <c r="M6" i="4"/>
  <c r="L6" i="4"/>
  <c r="K6" i="4"/>
  <c r="J6" i="4"/>
  <c r="I6" i="4"/>
  <c r="H6" i="4"/>
  <c r="G6" i="4"/>
  <c r="F6" i="4"/>
  <c r="E6" i="4"/>
  <c r="D6" i="4"/>
  <c r="C6" i="4"/>
  <c r="N5" i="4"/>
  <c r="M5" i="4"/>
  <c r="L5" i="4"/>
  <c r="K5" i="4"/>
  <c r="J5" i="4"/>
  <c r="I5" i="4"/>
  <c r="H5" i="4"/>
  <c r="G5" i="4"/>
  <c r="F5" i="4"/>
  <c r="E5" i="4"/>
  <c r="D5" i="4"/>
  <c r="C5" i="4"/>
  <c r="N4" i="4"/>
  <c r="M4" i="4"/>
  <c r="L4" i="4"/>
  <c r="K4" i="4"/>
  <c r="J4" i="4"/>
  <c r="I4" i="4"/>
  <c r="H4" i="4"/>
  <c r="G4" i="4"/>
  <c r="F4" i="4"/>
  <c r="E4" i="4"/>
  <c r="D4" i="4"/>
  <c r="C4" i="4"/>
  <c r="N32" i="6"/>
  <c r="M32" i="6"/>
  <c r="L32" i="6"/>
  <c r="K32" i="6"/>
  <c r="J32" i="6"/>
  <c r="I32" i="6"/>
  <c r="H32" i="6"/>
  <c r="G32" i="6"/>
  <c r="F32" i="6"/>
  <c r="E32" i="6"/>
  <c r="D32" i="6"/>
  <c r="C32" i="6"/>
  <c r="K19" i="6"/>
  <c r="E19" i="6"/>
  <c r="M39" i="5"/>
  <c r="L39" i="5"/>
  <c r="K39" i="5"/>
  <c r="J39" i="5"/>
  <c r="I39" i="5"/>
  <c r="H39" i="5"/>
  <c r="G39" i="5"/>
  <c r="F39" i="5"/>
  <c r="E39" i="5"/>
  <c r="D39" i="5"/>
  <c r="C39" i="5"/>
  <c r="M30" i="5"/>
  <c r="L30" i="5"/>
  <c r="H30" i="5"/>
  <c r="C30" i="5"/>
  <c r="N39" i="5" l="1"/>
  <c r="I30" i="5"/>
  <c r="J3" i="5"/>
  <c r="G19" i="6"/>
  <c r="L36" i="6"/>
  <c r="D36" i="6"/>
  <c r="M36" i="6"/>
  <c r="N19" i="6"/>
  <c r="L3" i="5"/>
  <c r="G36" i="6"/>
  <c r="K30" i="5"/>
  <c r="H19" i="6"/>
  <c r="E30" i="5"/>
  <c r="C36" i="6"/>
  <c r="H3" i="5"/>
  <c r="F30" i="5"/>
  <c r="D19" i="6"/>
  <c r="F19" i="6"/>
  <c r="H36" i="6"/>
  <c r="E3" i="5"/>
  <c r="G30" i="5"/>
  <c r="N3" i="5"/>
  <c r="D30" i="5"/>
  <c r="N36" i="6"/>
  <c r="N30" i="5"/>
  <c r="M19" i="6"/>
  <c r="F3" i="5"/>
  <c r="M3" i="5"/>
  <c r="I19" i="6"/>
  <c r="C19" i="6"/>
  <c r="I3" i="5"/>
  <c r="L19" i="6"/>
  <c r="F36" i="6"/>
  <c r="J36" i="6"/>
  <c r="I36" i="6"/>
  <c r="D3" i="5"/>
  <c r="C3" i="5"/>
  <c r="K3" i="5"/>
  <c r="E36" i="6"/>
  <c r="J19" i="6"/>
  <c r="J30" i="5"/>
  <c r="K36" i="6"/>
  <c r="G3" i="5"/>
  <c r="C14" i="6"/>
  <c r="E14" i="6"/>
  <c r="G14" i="6"/>
  <c r="I14" i="6"/>
  <c r="K14" i="6"/>
  <c r="M14" i="6"/>
  <c r="D14" i="6"/>
  <c r="F14" i="6"/>
  <c r="H14" i="6"/>
  <c r="J14" i="6"/>
  <c r="L14" i="6"/>
  <c r="N14" i="6"/>
  <c r="O18" i="6"/>
  <c r="O8" i="5"/>
  <c r="O17" i="5"/>
  <c r="O18" i="5"/>
  <c r="O4" i="6"/>
  <c r="O5" i="6"/>
  <c r="O6" i="6"/>
  <c r="G2" i="8" l="1"/>
  <c r="Q1" i="4" l="1"/>
  <c r="Q2" i="4" s="1"/>
  <c r="O32" i="5"/>
  <c r="D13" i="11"/>
  <c r="E13" i="11"/>
  <c r="F13" i="11"/>
  <c r="G13" i="11"/>
  <c r="H13" i="11"/>
  <c r="I13" i="11"/>
  <c r="J13" i="11"/>
  <c r="K13" i="11"/>
  <c r="L13" i="11"/>
  <c r="M13" i="11"/>
  <c r="N13" i="11"/>
  <c r="C13" i="11"/>
  <c r="O13" i="11" l="1"/>
  <c r="D15" i="11"/>
  <c r="E15" i="11"/>
  <c r="F15" i="11"/>
  <c r="G15" i="11"/>
  <c r="H15" i="11"/>
  <c r="I15" i="11"/>
  <c r="J15" i="11"/>
  <c r="K15" i="11"/>
  <c r="L15" i="11"/>
  <c r="M15" i="11"/>
  <c r="N15" i="11"/>
  <c r="C15" i="11"/>
  <c r="O45" i="5"/>
  <c r="O29" i="4"/>
  <c r="Q1" i="6"/>
  <c r="Q2" i="6" s="1"/>
  <c r="O9" i="5"/>
  <c r="O44" i="5"/>
  <c r="O45" i="6"/>
  <c r="O44" i="6"/>
  <c r="O38" i="6"/>
  <c r="O39" i="6"/>
  <c r="O40" i="6"/>
  <c r="O37" i="6"/>
  <c r="O33" i="6"/>
  <c r="O32" i="6" s="1"/>
  <c r="O31" i="6"/>
  <c r="O30" i="6"/>
  <c r="O27" i="6"/>
  <c r="O28" i="6"/>
  <c r="O26" i="6"/>
  <c r="O21" i="6"/>
  <c r="O22" i="6"/>
  <c r="O23" i="6"/>
  <c r="O20" i="6"/>
  <c r="O16" i="6"/>
  <c r="O17" i="6"/>
  <c r="O15" i="6"/>
  <c r="O9" i="6"/>
  <c r="O10" i="6"/>
  <c r="O11" i="6"/>
  <c r="O12" i="6"/>
  <c r="O13" i="6"/>
  <c r="O8" i="6"/>
  <c r="D43" i="6"/>
  <c r="E43" i="6"/>
  <c r="F43" i="6"/>
  <c r="G43" i="6"/>
  <c r="H43" i="6"/>
  <c r="I43" i="6"/>
  <c r="J43" i="6"/>
  <c r="K43" i="6"/>
  <c r="L43" i="6"/>
  <c r="M43" i="6"/>
  <c r="N43" i="6"/>
  <c r="C43" i="6"/>
  <c r="D29" i="6"/>
  <c r="E29" i="6"/>
  <c r="F29" i="6"/>
  <c r="G29" i="6"/>
  <c r="H29" i="6"/>
  <c r="I29" i="6"/>
  <c r="J29" i="6"/>
  <c r="K29" i="6"/>
  <c r="L29" i="6"/>
  <c r="M29" i="6"/>
  <c r="N29" i="6"/>
  <c r="C29" i="6"/>
  <c r="D25" i="6"/>
  <c r="D7" i="11" s="1"/>
  <c r="E25" i="6"/>
  <c r="E7" i="11" s="1"/>
  <c r="F25" i="6"/>
  <c r="F7" i="11" s="1"/>
  <c r="G25" i="6"/>
  <c r="G7" i="11" s="1"/>
  <c r="H25" i="6"/>
  <c r="H7" i="11" s="1"/>
  <c r="I25" i="6"/>
  <c r="I7" i="11" s="1"/>
  <c r="J25" i="6"/>
  <c r="J7" i="11" s="1"/>
  <c r="K25" i="6"/>
  <c r="K7" i="11" s="1"/>
  <c r="L25" i="6"/>
  <c r="L7" i="11" s="1"/>
  <c r="M25" i="6"/>
  <c r="M7" i="11" s="1"/>
  <c r="N25" i="6"/>
  <c r="N7" i="11" s="1"/>
  <c r="C25" i="6"/>
  <c r="C7" i="11" s="1"/>
  <c r="D6" i="11"/>
  <c r="E6" i="11"/>
  <c r="F6" i="11"/>
  <c r="G6" i="11"/>
  <c r="H6" i="11"/>
  <c r="I6" i="11"/>
  <c r="J6" i="11"/>
  <c r="K6" i="11"/>
  <c r="L6" i="11"/>
  <c r="M6" i="11"/>
  <c r="N6" i="11"/>
  <c r="C6" i="11"/>
  <c r="D5" i="11"/>
  <c r="E5" i="11"/>
  <c r="F5" i="11"/>
  <c r="G5" i="11"/>
  <c r="H5" i="11"/>
  <c r="I5" i="11"/>
  <c r="J5" i="11"/>
  <c r="K5" i="11"/>
  <c r="L5" i="11"/>
  <c r="M5" i="11"/>
  <c r="N5" i="11"/>
  <c r="C5" i="11"/>
  <c r="D7" i="6"/>
  <c r="D4" i="11" s="1"/>
  <c r="E7" i="6"/>
  <c r="E4" i="11" s="1"/>
  <c r="F7" i="6"/>
  <c r="F4" i="11" s="1"/>
  <c r="G7" i="6"/>
  <c r="G4" i="11" s="1"/>
  <c r="H7" i="6"/>
  <c r="H4" i="11" s="1"/>
  <c r="I7" i="6"/>
  <c r="I4" i="11" s="1"/>
  <c r="J7" i="6"/>
  <c r="J4" i="11" s="1"/>
  <c r="K7" i="6"/>
  <c r="K4" i="11" s="1"/>
  <c r="L7" i="6"/>
  <c r="L4" i="11" s="1"/>
  <c r="M7" i="6"/>
  <c r="M4" i="11" s="1"/>
  <c r="N7" i="6"/>
  <c r="N4" i="11" s="1"/>
  <c r="C7" i="6"/>
  <c r="C4" i="11" s="1"/>
  <c r="D3" i="6"/>
  <c r="E3" i="6"/>
  <c r="F3" i="6"/>
  <c r="G3" i="6"/>
  <c r="H3" i="6"/>
  <c r="I3" i="6"/>
  <c r="J3" i="6"/>
  <c r="K3" i="6"/>
  <c r="L3" i="6"/>
  <c r="M3" i="6"/>
  <c r="N3" i="6"/>
  <c r="C3" i="6"/>
  <c r="O7" i="6" l="1"/>
  <c r="O19" i="6"/>
  <c r="O36" i="6"/>
  <c r="N3" i="11"/>
  <c r="N1" i="6"/>
  <c r="L3" i="11"/>
  <c r="L1" i="6"/>
  <c r="J3" i="11"/>
  <c r="J1" i="6"/>
  <c r="H3" i="11"/>
  <c r="H1" i="6"/>
  <c r="F3" i="11"/>
  <c r="F1" i="6"/>
  <c r="D3" i="11"/>
  <c r="D1" i="6"/>
  <c r="C3" i="11"/>
  <c r="C1" i="6"/>
  <c r="M3" i="11"/>
  <c r="M1" i="6"/>
  <c r="K3" i="11"/>
  <c r="K1" i="6"/>
  <c r="I3" i="11"/>
  <c r="I1" i="6"/>
  <c r="G3" i="11"/>
  <c r="G1" i="6"/>
  <c r="E3" i="11"/>
  <c r="E1" i="6"/>
  <c r="O4" i="11"/>
  <c r="O5" i="11"/>
  <c r="O6" i="11"/>
  <c r="O15" i="11"/>
  <c r="O7" i="11"/>
  <c r="O14" i="6"/>
  <c r="O43" i="6"/>
  <c r="O29" i="6"/>
  <c r="O25" i="6"/>
  <c r="O3" i="6"/>
  <c r="R1" i="5"/>
  <c r="R2" i="5" s="1"/>
  <c r="O41" i="5"/>
  <c r="O42" i="5"/>
  <c r="O43" i="5"/>
  <c r="D34" i="5"/>
  <c r="D14" i="11" s="1"/>
  <c r="E34" i="5"/>
  <c r="E14" i="11" s="1"/>
  <c r="F34" i="5"/>
  <c r="F14" i="11" s="1"/>
  <c r="G34" i="5"/>
  <c r="G14" i="11" s="1"/>
  <c r="H34" i="5"/>
  <c r="H14" i="11" s="1"/>
  <c r="I34" i="5"/>
  <c r="I14" i="11" s="1"/>
  <c r="J34" i="5"/>
  <c r="J14" i="11" s="1"/>
  <c r="K34" i="5"/>
  <c r="K14" i="11" s="1"/>
  <c r="L34" i="5"/>
  <c r="L14" i="11" s="1"/>
  <c r="M34" i="5"/>
  <c r="M14" i="11" s="1"/>
  <c r="N34" i="5"/>
  <c r="N14" i="11" s="1"/>
  <c r="C34" i="5"/>
  <c r="C14" i="11" s="1"/>
  <c r="O31" i="5"/>
  <c r="O35" i="5"/>
  <c r="O36" i="5"/>
  <c r="O37" i="5"/>
  <c r="O38" i="5"/>
  <c r="O39" i="5"/>
  <c r="O40" i="5"/>
  <c r="O28" i="5"/>
  <c r="O29" i="5"/>
  <c r="D27" i="5"/>
  <c r="D12" i="11" s="1"/>
  <c r="E27" i="5"/>
  <c r="E12" i="11" s="1"/>
  <c r="F27" i="5"/>
  <c r="F12" i="11" s="1"/>
  <c r="G27" i="5"/>
  <c r="G12" i="11" s="1"/>
  <c r="H27" i="5"/>
  <c r="H12" i="11" s="1"/>
  <c r="I27" i="5"/>
  <c r="I12" i="11" s="1"/>
  <c r="J27" i="5"/>
  <c r="J12" i="11" s="1"/>
  <c r="K27" i="5"/>
  <c r="K12" i="11" s="1"/>
  <c r="L27" i="5"/>
  <c r="L12" i="11" s="1"/>
  <c r="M27" i="5"/>
  <c r="M12" i="11" s="1"/>
  <c r="N27" i="5"/>
  <c r="N12" i="11" s="1"/>
  <c r="C27" i="5"/>
  <c r="C12" i="11" s="1"/>
  <c r="O25" i="5"/>
  <c r="O26" i="5"/>
  <c r="D24" i="5"/>
  <c r="D11" i="11" s="1"/>
  <c r="E24" i="5"/>
  <c r="E11" i="11" s="1"/>
  <c r="F24" i="5"/>
  <c r="F11" i="11" s="1"/>
  <c r="G24" i="5"/>
  <c r="G11" i="11" s="1"/>
  <c r="H24" i="5"/>
  <c r="H11" i="11" s="1"/>
  <c r="I24" i="5"/>
  <c r="I11" i="11" s="1"/>
  <c r="J24" i="5"/>
  <c r="J11" i="11" s="1"/>
  <c r="K24" i="5"/>
  <c r="K11" i="11" s="1"/>
  <c r="L24" i="5"/>
  <c r="L11" i="11" s="1"/>
  <c r="M24" i="5"/>
  <c r="M11" i="11" s="1"/>
  <c r="N24" i="5"/>
  <c r="N11" i="11" s="1"/>
  <c r="C24" i="5"/>
  <c r="C11" i="11" s="1"/>
  <c r="O21" i="5"/>
  <c r="O22" i="5"/>
  <c r="O23" i="5"/>
  <c r="O20" i="5"/>
  <c r="D19" i="5"/>
  <c r="D10" i="11" s="1"/>
  <c r="E19" i="5"/>
  <c r="E10" i="11" s="1"/>
  <c r="F19" i="5"/>
  <c r="F10" i="11" s="1"/>
  <c r="G19" i="5"/>
  <c r="G10" i="11" s="1"/>
  <c r="H19" i="5"/>
  <c r="H10" i="11" s="1"/>
  <c r="I19" i="5"/>
  <c r="I10" i="11" s="1"/>
  <c r="J19" i="5"/>
  <c r="J10" i="11" s="1"/>
  <c r="K19" i="5"/>
  <c r="K10" i="11" s="1"/>
  <c r="L19" i="5"/>
  <c r="L10" i="11" s="1"/>
  <c r="M19" i="5"/>
  <c r="M10" i="11" s="1"/>
  <c r="N19" i="5"/>
  <c r="N10" i="11" s="1"/>
  <c r="C19" i="5"/>
  <c r="C10" i="11" s="1"/>
  <c r="O3" i="11" l="1"/>
  <c r="O1" i="6"/>
  <c r="R2" i="6" s="1"/>
  <c r="O14" i="11"/>
  <c r="O10" i="11"/>
  <c r="O11" i="11"/>
  <c r="O12" i="11"/>
  <c r="O27" i="5"/>
  <c r="O24" i="5"/>
  <c r="O19" i="5"/>
  <c r="O30" i="5"/>
  <c r="O13" i="5" l="1"/>
  <c r="O14" i="5"/>
  <c r="O15" i="5"/>
  <c r="O12" i="5"/>
  <c r="D16" i="5"/>
  <c r="D9" i="11" s="1"/>
  <c r="E16" i="5"/>
  <c r="E9" i="11" s="1"/>
  <c r="F16" i="5"/>
  <c r="F9" i="11" s="1"/>
  <c r="G16" i="5"/>
  <c r="G9" i="11" s="1"/>
  <c r="H16" i="5"/>
  <c r="H9" i="11" s="1"/>
  <c r="I16" i="5"/>
  <c r="I9" i="11" s="1"/>
  <c r="J16" i="5"/>
  <c r="J9" i="11" s="1"/>
  <c r="K16" i="5"/>
  <c r="K9" i="11" s="1"/>
  <c r="L16" i="5"/>
  <c r="L9" i="11" s="1"/>
  <c r="M16" i="5"/>
  <c r="M9" i="11" s="1"/>
  <c r="N16" i="5"/>
  <c r="N9" i="11" s="1"/>
  <c r="C16" i="5"/>
  <c r="C9" i="11" s="1"/>
  <c r="O9" i="11" l="1"/>
  <c r="O16" i="5"/>
  <c r="O5" i="5"/>
  <c r="O6" i="5"/>
  <c r="O7" i="5"/>
  <c r="O4" i="5"/>
  <c r="D11" i="5"/>
  <c r="E11" i="5"/>
  <c r="F11" i="5"/>
  <c r="G11" i="5"/>
  <c r="H11" i="5"/>
  <c r="H1" i="5" s="1"/>
  <c r="I11" i="5"/>
  <c r="J11" i="5"/>
  <c r="K11" i="5"/>
  <c r="L11" i="5"/>
  <c r="M11" i="5"/>
  <c r="N11" i="5"/>
  <c r="C11" i="5"/>
  <c r="C8" i="11" l="1"/>
  <c r="C1" i="11" s="1"/>
  <c r="C1" i="5"/>
  <c r="M8" i="11"/>
  <c r="M1" i="11" s="1"/>
  <c r="M1" i="5"/>
  <c r="K8" i="11"/>
  <c r="K1" i="11" s="1"/>
  <c r="K1" i="5"/>
  <c r="I8" i="11"/>
  <c r="I1" i="11" s="1"/>
  <c r="I1" i="5"/>
  <c r="G8" i="11"/>
  <c r="G1" i="11" s="1"/>
  <c r="G1" i="5"/>
  <c r="E8" i="11"/>
  <c r="E1" i="11" s="1"/>
  <c r="E1" i="5"/>
  <c r="N8" i="11"/>
  <c r="N1" i="11" s="1"/>
  <c r="N1" i="5"/>
  <c r="L8" i="11"/>
  <c r="L1" i="11" s="1"/>
  <c r="L1" i="5"/>
  <c r="J8" i="11"/>
  <c r="J1" i="11" s="1"/>
  <c r="J1" i="5"/>
  <c r="F8" i="11"/>
  <c r="F1" i="11" s="1"/>
  <c r="F1" i="5"/>
  <c r="D8" i="11"/>
  <c r="D1" i="11" s="1"/>
  <c r="D1" i="5"/>
  <c r="H8" i="11"/>
  <c r="H1" i="11" s="1"/>
  <c r="O11" i="5"/>
  <c r="O3" i="5"/>
  <c r="O25" i="4"/>
  <c r="D19" i="4"/>
  <c r="E19" i="4"/>
  <c r="F19" i="4"/>
  <c r="G19" i="4"/>
  <c r="H19" i="4"/>
  <c r="I19" i="4"/>
  <c r="J19" i="4"/>
  <c r="K19" i="4"/>
  <c r="L19" i="4"/>
  <c r="M19" i="4"/>
  <c r="N19" i="4"/>
  <c r="C19" i="4"/>
  <c r="D15" i="4"/>
  <c r="E15" i="4"/>
  <c r="F15" i="4"/>
  <c r="G15" i="4"/>
  <c r="H15" i="4"/>
  <c r="I15" i="4"/>
  <c r="J15" i="4"/>
  <c r="K15" i="4"/>
  <c r="L15" i="4"/>
  <c r="M15" i="4"/>
  <c r="N15" i="4"/>
  <c r="C15" i="4"/>
  <c r="D8" i="4"/>
  <c r="E8" i="4"/>
  <c r="F8" i="4"/>
  <c r="G8" i="4"/>
  <c r="H8" i="4"/>
  <c r="I8" i="4"/>
  <c r="J8" i="4"/>
  <c r="K8" i="4"/>
  <c r="L8" i="4"/>
  <c r="M8" i="4"/>
  <c r="N8" i="4"/>
  <c r="C8" i="4"/>
  <c r="E3" i="4"/>
  <c r="F3" i="4"/>
  <c r="G3" i="4"/>
  <c r="H3" i="4"/>
  <c r="I3" i="4"/>
  <c r="J3" i="4"/>
  <c r="K3" i="4"/>
  <c r="L3" i="4"/>
  <c r="M3" i="4"/>
  <c r="N3" i="4"/>
  <c r="D3" i="4"/>
  <c r="D1" i="4" s="1"/>
  <c r="C3" i="4"/>
  <c r="C1" i="4" s="1"/>
  <c r="O4" i="4"/>
  <c r="O5" i="4"/>
  <c r="O6" i="4"/>
  <c r="O7" i="4"/>
  <c r="O9" i="4"/>
  <c r="O10" i="4"/>
  <c r="O11" i="4"/>
  <c r="O12" i="4"/>
  <c r="O13" i="4"/>
  <c r="O14" i="4"/>
  <c r="O16" i="4"/>
  <c r="O17" i="4"/>
  <c r="O18" i="4"/>
  <c r="O20" i="4"/>
  <c r="O21" i="4"/>
  <c r="O22" i="4"/>
  <c r="O23" i="4"/>
  <c r="O24" i="4"/>
  <c r="O26" i="4"/>
  <c r="O27" i="4"/>
  <c r="O28" i="4"/>
  <c r="N1" i="4" l="1"/>
  <c r="L1" i="4"/>
  <c r="J1" i="4"/>
  <c r="H1" i="4"/>
  <c r="F1" i="4"/>
  <c r="O15" i="4"/>
  <c r="M1" i="4"/>
  <c r="K1" i="4"/>
  <c r="I1" i="4"/>
  <c r="G1" i="4"/>
  <c r="E1" i="4"/>
  <c r="O8" i="11"/>
  <c r="O1" i="11" s="1"/>
  <c r="R2" i="11" s="1"/>
  <c r="O19" i="4"/>
  <c r="O8" i="4"/>
  <c r="O3" i="4"/>
  <c r="O1" i="4" l="1"/>
  <c r="R2" i="4" s="1"/>
  <c r="O34" i="5"/>
  <c r="O1" i="5" s="1"/>
  <c r="S2" i="5" l="1"/>
  <c r="I2" i="9"/>
  <c r="K2" i="9" s="1"/>
  <c r="R4" i="3"/>
  <c r="R16" i="3" s="1"/>
</calcChain>
</file>

<file path=xl/comments1.xml><?xml version="1.0" encoding="utf-8"?>
<comments xmlns="http://schemas.openxmlformats.org/spreadsheetml/2006/main">
  <authors>
    <author>Werner Luck</author>
  </authors>
  <commentList>
    <comment ref="A2" authorId="0">
      <text>
        <r>
          <rPr>
            <b/>
            <sz val="9"/>
            <color indexed="81"/>
            <rFont val="Tahoma"/>
            <charset val="1"/>
          </rPr>
          <t>Werner Luck:</t>
        </r>
        <r>
          <rPr>
            <sz val="9"/>
            <color indexed="81"/>
            <rFont val="Tahoma"/>
            <charset val="1"/>
          </rPr>
          <t xml:space="preserve">
Bitte Jahr eintragen!</t>
        </r>
      </text>
    </comment>
  </commentList>
</comments>
</file>

<file path=xl/comments2.xml><?xml version="1.0" encoding="utf-8"?>
<comments xmlns="http://schemas.openxmlformats.org/spreadsheetml/2006/main">
  <authors>
    <author>Werner Luck</author>
  </authors>
  <commentList>
    <comment ref="A2" authorId="0">
      <text>
        <r>
          <rPr>
            <b/>
            <sz val="9"/>
            <color indexed="81"/>
            <rFont val="Tahoma"/>
            <charset val="1"/>
          </rPr>
          <t>Werner Luck:</t>
        </r>
        <r>
          <rPr>
            <sz val="9"/>
            <color indexed="81"/>
            <rFont val="Tahoma"/>
            <charset val="1"/>
          </rPr>
          <t xml:space="preserve">
Bitte Jahr eintragen!</t>
        </r>
      </text>
    </comment>
  </commentList>
</comments>
</file>

<file path=xl/comments3.xml><?xml version="1.0" encoding="utf-8"?>
<comments xmlns="http://schemas.openxmlformats.org/spreadsheetml/2006/main">
  <authors>
    <author>Werner Luck</author>
  </authors>
  <commentList>
    <comment ref="I1" authorId="0">
      <text>
        <r>
          <rPr>
            <b/>
            <sz val="9"/>
            <color indexed="81"/>
            <rFont val="Tahoma"/>
            <family val="2"/>
          </rPr>
          <t>Werner Luck:</t>
        </r>
        <r>
          <rPr>
            <sz val="9"/>
            <color indexed="81"/>
            <rFont val="Tahoma"/>
            <family val="2"/>
          </rPr>
          <t xml:space="preserve">
Beide Summen müssen überinstimmen!</t>
        </r>
      </text>
    </comment>
    <comment ref="A2" authorId="0">
      <text>
        <r>
          <rPr>
            <b/>
            <sz val="9"/>
            <color indexed="81"/>
            <rFont val="Tahoma"/>
            <charset val="1"/>
          </rPr>
          <t>Werner Luck:</t>
        </r>
        <r>
          <rPr>
            <sz val="9"/>
            <color indexed="81"/>
            <rFont val="Tahoma"/>
            <charset val="1"/>
          </rPr>
          <t xml:space="preserve">
Bitte Jahr eintragen!</t>
        </r>
      </text>
    </comment>
    <comment ref="I3" authorId="0">
      <text>
        <r>
          <rPr>
            <b/>
            <sz val="9"/>
            <color indexed="81"/>
            <rFont val="Tahoma"/>
            <family val="2"/>
          </rPr>
          <t>Werner Luck:</t>
        </r>
        <r>
          <rPr>
            <sz val="9"/>
            <color indexed="81"/>
            <rFont val="Tahoma"/>
            <family val="2"/>
          </rPr>
          <t xml:space="preserve">
Summenbildung bei Aufteilung einer Rechnung/Quittung</t>
        </r>
      </text>
    </comment>
  </commentList>
</comments>
</file>

<file path=xl/comments4.xml><?xml version="1.0" encoding="utf-8"?>
<comments xmlns="http://schemas.openxmlformats.org/spreadsheetml/2006/main">
  <authors>
    <author>Werner Luck</author>
  </authors>
  <commentList>
    <comment ref="A12" authorId="0">
      <text>
        <r>
          <rPr>
            <b/>
            <sz val="9"/>
            <color indexed="81"/>
            <rFont val="Tahoma"/>
            <family val="2"/>
          </rPr>
          <t>Werner Luck:</t>
        </r>
        <r>
          <rPr>
            <sz val="9"/>
            <color indexed="81"/>
            <rFont val="Tahoma"/>
            <family val="2"/>
          </rPr>
          <t xml:space="preserve">
Fahrkarten</t>
        </r>
      </text>
    </comment>
  </commentList>
</comments>
</file>

<file path=xl/comments5.xml><?xml version="1.0" encoding="utf-8"?>
<comments xmlns="http://schemas.openxmlformats.org/spreadsheetml/2006/main">
  <authors>
    <author>Werner Luck</author>
  </authors>
  <commentList>
    <comment ref="I17" authorId="0">
      <text>
        <r>
          <rPr>
            <b/>
            <sz val="9"/>
            <color indexed="81"/>
            <rFont val="Tahoma"/>
            <family val="2"/>
          </rPr>
          <t>Werner Luck:</t>
        </r>
        <r>
          <rPr>
            <sz val="9"/>
            <color indexed="81"/>
            <rFont val="Tahoma"/>
            <family val="2"/>
          </rPr>
          <t xml:space="preserve">
Kostenstelle nach Buchungsplan!</t>
        </r>
      </text>
    </comment>
  </commentList>
</comments>
</file>

<file path=xl/sharedStrings.xml><?xml version="1.0" encoding="utf-8"?>
<sst xmlns="http://schemas.openxmlformats.org/spreadsheetml/2006/main" count="654" uniqueCount="382">
  <si>
    <t>Datum</t>
  </si>
  <si>
    <t>Bemerkungen</t>
  </si>
  <si>
    <t>Jahr</t>
  </si>
  <si>
    <t>Gesamt</t>
  </si>
  <si>
    <t>Kommunikation</t>
  </si>
  <si>
    <t>Sonstiges</t>
  </si>
  <si>
    <t>Einnahmen</t>
  </si>
  <si>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</si>
  <si>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</si>
  <si>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</si>
  <si>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</si>
  <si>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</si>
  <si>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</si>
  <si>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</si>
  <si>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</si>
  <si>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</si>
  <si>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</si>
  <si>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</si>
  <si>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</si>
  <si>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Pension</t>
  </si>
  <si>
    <t>Provision</t>
  </si>
  <si>
    <t>Urlaubsgeld</t>
  </si>
  <si>
    <t>Weihnachtsgeld</t>
  </si>
  <si>
    <t>Kindergeld</t>
  </si>
  <si>
    <t>Wohngeld</t>
  </si>
  <si>
    <t>Elterngeld</t>
  </si>
  <si>
    <t>Rente</t>
  </si>
  <si>
    <t>Arbeitslosengeld</t>
  </si>
  <si>
    <t>Unterhalt</t>
  </si>
  <si>
    <t>Geldgeschenke</t>
  </si>
  <si>
    <t>Zinsen</t>
  </si>
  <si>
    <t>Dividenden</t>
  </si>
  <si>
    <t>Sparbeträge, ausgezahlt</t>
  </si>
  <si>
    <t>Kursgewinne</t>
  </si>
  <si>
    <t>Mieteinnahmen</t>
  </si>
  <si>
    <t>Feste Ausgaben</t>
  </si>
  <si>
    <t>Erwerbseinkommen</t>
  </si>
  <si>
    <t>Nettolohn, -gehalt</t>
  </si>
  <si>
    <t>Staatliche Zahlungen</t>
  </si>
  <si>
    <t>Private Zahlungen</t>
  </si>
  <si>
    <t>Einnahmen aus Vermögen</t>
  </si>
  <si>
    <t>Rückerstattung</t>
  </si>
  <si>
    <t>Steuer</t>
  </si>
  <si>
    <t>Strom, Gas, Wasser</t>
  </si>
  <si>
    <t>Krankenkasse</t>
  </si>
  <si>
    <t>Wohnen</t>
  </si>
  <si>
    <t>Miete</t>
  </si>
  <si>
    <t>Immobilienkredite</t>
  </si>
  <si>
    <t>Heizenergie</t>
  </si>
  <si>
    <t>Strom</t>
  </si>
  <si>
    <t>Hauswirtschaft</t>
  </si>
  <si>
    <t>Mobilität</t>
  </si>
  <si>
    <t>Öffentliche Verkehrsmittel</t>
  </si>
  <si>
    <t>Kfz-Steuer</t>
  </si>
  <si>
    <t>Kfz-Versicherung</t>
  </si>
  <si>
    <t>Leasing für PKW</t>
  </si>
  <si>
    <t>Rundfunkbeitrag</t>
  </si>
  <si>
    <t>Telefon und Internet</t>
  </si>
  <si>
    <t>Bildung und Freizeit</t>
  </si>
  <si>
    <t>Nachhilfe, Schulgeld, Studiengebühren</t>
  </si>
  <si>
    <t>Unterrichts- und Kursgebühren</t>
  </si>
  <si>
    <t>Taschengeld</t>
  </si>
  <si>
    <t>Betreuung und Pflege</t>
  </si>
  <si>
    <t>Kinderbetreuung</t>
  </si>
  <si>
    <t>Dienstleistungen für Altenpflege</t>
  </si>
  <si>
    <t>Versicherungen</t>
  </si>
  <si>
    <t>Beiträge, Honorare, Geldtransfers</t>
  </si>
  <si>
    <t>Unterhaltszahlungen</t>
  </si>
  <si>
    <t>Vermögensbildung</t>
  </si>
  <si>
    <t>Kapitalbildende Lv´en</t>
  </si>
  <si>
    <t>Rentenversicherung</t>
  </si>
  <si>
    <t>Sparverträge</t>
  </si>
  <si>
    <t>Wertpapiere</t>
  </si>
  <si>
    <t>Verbindlichkeiten</t>
  </si>
  <si>
    <t>Mitgliedsbeiträge</t>
  </si>
  <si>
    <t>Dispokredit</t>
  </si>
  <si>
    <t>Ratenkredit</t>
  </si>
  <si>
    <t>ADAC-Kfz.-Kredit</t>
  </si>
  <si>
    <t>Beleihung LV</t>
  </si>
  <si>
    <t>Lfd. Monat</t>
  </si>
  <si>
    <t>Ø je Monat</t>
  </si>
  <si>
    <t>Veränderliche Ausgaben</t>
  </si>
  <si>
    <t>Schönheitsreperaturen</t>
  </si>
  <si>
    <t>Instandsetzung</t>
  </si>
  <si>
    <t>Wohnungseinrichtung</t>
  </si>
  <si>
    <t>Hausrat und kleine Geräte</t>
  </si>
  <si>
    <t>Reinigungsmittel</t>
  </si>
  <si>
    <t>Blumen, Gartenbedarf</t>
  </si>
  <si>
    <t>Haustiere, incl. Hundesteuer</t>
  </si>
  <si>
    <t>Reperaturen</t>
  </si>
  <si>
    <t>Hilfe für Haushalt, Garten, Grabpflege</t>
  </si>
  <si>
    <t>Ernährung</t>
  </si>
  <si>
    <t>Nahrungsmittel, Getränke</t>
  </si>
  <si>
    <t>Alkohol, Tabakwaren</t>
  </si>
  <si>
    <t>Außer-Haus-Verzehr (Schule, Kita)</t>
  </si>
  <si>
    <t>Körper- und Gesundheitspflege</t>
  </si>
  <si>
    <t>Körperpflegemittel</t>
  </si>
  <si>
    <t>Friseur, Sauna, Solarium</t>
  </si>
  <si>
    <t>Praxisgebühren, Arznei-/Heilmittel</t>
  </si>
  <si>
    <t>Arzthonorare, Krankenhaus</t>
  </si>
  <si>
    <t>Persönliche Ausstattung</t>
  </si>
  <si>
    <t>Bekleidung, Schuhe</t>
  </si>
  <si>
    <t>Schmuck, Taschen, Schirme</t>
  </si>
  <si>
    <t>Reinigung und Reperaturen</t>
  </si>
  <si>
    <t>Private Verkehrsmittel (Benzin, Ersatzteile)</t>
  </si>
  <si>
    <t>Büromaterial, Porto</t>
  </si>
  <si>
    <t>Bücher, Zeitschriften, Spiel, Sport</t>
  </si>
  <si>
    <t>Eintrittsgelder</t>
  </si>
  <si>
    <t>Pauschalreisen, Hotel, Ferienwohnung</t>
  </si>
  <si>
    <t>Geschenke</t>
  </si>
  <si>
    <t>Gebühren</t>
  </si>
  <si>
    <t>Geldspenden</t>
  </si>
  <si>
    <t>Bausparkredit Wüstenrot</t>
  </si>
  <si>
    <t>Bausparvertrag Wüstenrot</t>
  </si>
  <si>
    <t>Beihilfe</t>
  </si>
  <si>
    <t>Gewinnspiele (Fernsehlotterie)</t>
  </si>
  <si>
    <t>Kreditkarte</t>
  </si>
  <si>
    <t>Monat</t>
  </si>
  <si>
    <t>Wasser</t>
  </si>
  <si>
    <t>Kostenstelle</t>
  </si>
  <si>
    <t>Haushalts
stelle</t>
  </si>
  <si>
    <t>Kosten
stelle
fest</t>
  </si>
  <si>
    <t>Kosten
stelle
variabel</t>
  </si>
  <si>
    <t>Ausgaben</t>
  </si>
  <si>
    <t xml:space="preserve">Einnahmenliste </t>
  </si>
  <si>
    <t>Ausgabenliste</t>
  </si>
  <si>
    <t>Einzahler</t>
  </si>
  <si>
    <t>Kosten
stelle</t>
  </si>
  <si>
    <t>Bezeichnung</t>
  </si>
  <si>
    <t>Betrag</t>
  </si>
  <si>
    <t>Teilbetrag bei Filterung:</t>
  </si>
  <si>
    <t>Buchungs
stelle</t>
  </si>
  <si>
    <t xml:space="preserve"> Aussteller/Empfänger</t>
  </si>
  <si>
    <t>LBBerlin</t>
  </si>
  <si>
    <t>Buchungsplan</t>
  </si>
  <si>
    <t>Genussmittel (Süßwaren)</t>
  </si>
  <si>
    <t>Einkommen</t>
  </si>
  <si>
    <t>Gewinnspiele (Fernsehlotterie, PS-Sparen)</t>
  </si>
  <si>
    <t>HÜL</t>
  </si>
  <si>
    <t>Jagd</t>
  </si>
  <si>
    <t>Aufteilung Kreditkartenausgaben</t>
  </si>
  <si>
    <t>Jahr:</t>
  </si>
  <si>
    <t>Kraftstoff</t>
  </si>
  <si>
    <t>Kaffee</t>
  </si>
  <si>
    <t>Kontrolle</t>
  </si>
  <si>
    <t>Private Verkehrsmittel (Kraftstoff, Ersatzteile)</t>
  </si>
  <si>
    <t>Kontrolle:</t>
  </si>
  <si>
    <t>Saldo</t>
  </si>
  <si>
    <t>Schmuck, Taschen, Schirme usf.</t>
  </si>
  <si>
    <t>Computer (Hardware)</t>
  </si>
  <si>
    <t>Computer (Software)</t>
  </si>
  <si>
    <t>AUSGABEN</t>
  </si>
  <si>
    <t>EINNAHMEN</t>
  </si>
  <si>
    <t>SALDO</t>
  </si>
  <si>
    <t>Übersichten.</t>
  </si>
  <si>
    <t>Excel-Anwendung von</t>
  </si>
  <si>
    <t>WERNER LUCK</t>
  </si>
  <si>
    <t>INHALT</t>
  </si>
  <si>
    <t>Info</t>
  </si>
  <si>
    <t>Dieses Blatt</t>
  </si>
  <si>
    <t>E</t>
  </si>
  <si>
    <t>Eingaben (Anweisung zum Gebrauch der Arbeitsmappe)</t>
  </si>
  <si>
    <t>Entwickelt von Werner Luck</t>
  </si>
  <si>
    <t>Hauptstraße 2</t>
  </si>
  <si>
    <t>54413 Beuren</t>
  </si>
  <si>
    <t>Überwachen Sie Ihren Haushalt und Erstellen Sie Statistiken in Excel. Erzeugen Sie komfortabel Diagramme und</t>
  </si>
  <si>
    <t>Buchungsplan über Einnahmen und Ausgaben</t>
  </si>
  <si>
    <t>Einnahmenliste</t>
  </si>
  <si>
    <t>Kreditkartenausgaben</t>
  </si>
  <si>
    <t>Haushaltstführung</t>
  </si>
  <si>
    <t>Datumsweise Auflistung der Einnahmen</t>
  </si>
  <si>
    <t>Datumsweise Auflistung der Ausgaben</t>
  </si>
  <si>
    <t>Übersicht über die Einnahmen des Jahres nach Monaten</t>
  </si>
  <si>
    <t>Übersicht über die Ausgaben des Jahres nach Monaten</t>
  </si>
  <si>
    <t>Auflistung der festen Ausgaben</t>
  </si>
  <si>
    <t>Auflistung der variablen Ausgaben</t>
  </si>
  <si>
    <t>Aufteilung der Ausgaben via Kreditkarte</t>
  </si>
  <si>
    <t>HÜL-Diagramm</t>
  </si>
  <si>
    <t>Übersichtsdiagramm Einnahmen/Ausgaben nach Monaten</t>
  </si>
  <si>
    <t>Zusammenstellung der jährlichen Einnahmen und Ausgaben nach Monaten</t>
  </si>
  <si>
    <t>Kostenarten</t>
  </si>
  <si>
    <t>Einnahmearten</t>
  </si>
  <si>
    <t>Einnahme- und Kostenarten</t>
  </si>
  <si>
    <t>Zusammenstellung der Einnahme- und Kostenarten von privaten Haushalten</t>
  </si>
  <si>
    <t>Die Einnahme- und Kostenarten können je nach privaten Bedürfnissen verändert und</t>
  </si>
  <si>
    <t>angepasst werden. Die vorstehende Gliederung stellt lediglich einen Vorschlag dar.</t>
  </si>
  <si>
    <t>Verfeinerungen und diffizilere Untergliederungen sind dem jeweiligen Benutzer</t>
  </si>
  <si>
    <t>unbenommen.</t>
  </si>
  <si>
    <t>Summe bei Aufteilung</t>
  </si>
  <si>
    <t>Allgemeines</t>
  </si>
  <si>
    <t>Tipp:</t>
  </si>
  <si>
    <t>Tabelle "Info"</t>
  </si>
  <si>
    <t>Inhaltsbeschreibung der Arbeitsmappe und Informationen über den Autor.</t>
  </si>
  <si>
    <t>Die Arbeitsmappe dient der Überwachung und Dokumentation der Haushaltseinnahmen und -ausgaben.</t>
  </si>
  <si>
    <t>Die Arbeitsmappe enthält folgende weitere Tabellenblätter:</t>
  </si>
  <si>
    <r>
      <rPr>
        <b/>
        <sz val="12"/>
        <color theme="1"/>
        <rFont val="Calibri"/>
        <family val="2"/>
        <scheme val="minor"/>
      </rPr>
      <t xml:space="preserve">Anweisungen und Erläuterungen </t>
    </r>
    <r>
      <rPr>
        <sz val="11"/>
        <color theme="1"/>
        <rFont val="Calibri"/>
        <family val="2"/>
        <scheme val="minor"/>
      </rPr>
      <t>(dieses Tabellenblatt "E")</t>
    </r>
  </si>
  <si>
    <t>Tabellenblatt "Buchungsplan"</t>
  </si>
  <si>
    <t>Haushalts- und Kostenstellen sind möglich.</t>
  </si>
  <si>
    <t>Erstattungen aus Steuerzahlungen, Strom-, Gas- und Wasserentgelten, der Krankenkasse</t>
  </si>
  <si>
    <t>und der Beihilfe.</t>
  </si>
  <si>
    <t>Einzahlungen aus beruflicher Tätigkeit (Nettolohn, -gehalt), Urlaubsgeld, Weihnachtsgeld und</t>
  </si>
  <si>
    <t>Provisionen</t>
  </si>
  <si>
    <t>Kindergeld, Elterngeld, Wohngeld, Pension, Rente, Arbeitslosengeld</t>
  </si>
  <si>
    <t>Zinsen, Dividenden, ausgezahlte Sparbeträge, Kursgewinne, Mieteinnahmen</t>
  </si>
  <si>
    <r>
      <t>Unterhalt, Geldgeschenke, Sonstiges (</t>
    </r>
    <r>
      <rPr>
        <sz val="9"/>
        <color theme="1"/>
        <rFont val="Calibri"/>
        <family val="2"/>
        <scheme val="minor"/>
      </rPr>
      <t>dazu zählen z.B. Lotteriegewinne</t>
    </r>
    <r>
      <rPr>
        <sz val="11"/>
        <color theme="1"/>
        <rFont val="Calibri"/>
        <family val="2"/>
        <scheme val="minor"/>
      </rPr>
      <t>)</t>
    </r>
  </si>
  <si>
    <t>Pflege, Beiträge, Honorare, Geldtransfers, Versicherungen, Vermögensbildung und Verbind-</t>
  </si>
  <si>
    <t>Persönliche Ausstattung, Mobilität, Kommunikation, Bildung und Freizeit, Betreuung und</t>
  </si>
  <si>
    <t>Weitere Unterteilungen erfolgen bei den jeweiligen Kostenstellen.</t>
  </si>
  <si>
    <t>Tabellenblatt "HÜL"</t>
  </si>
  <si>
    <t>Direkte Steuerungsaktivitäten sind somit möglich.</t>
  </si>
  <si>
    <t>Tabellenblatt "Einn.Liste"</t>
  </si>
  <si>
    <t>Tabellenblatt "Ausg.Liste"</t>
  </si>
  <si>
    <t>Auflistung der Ausgaben nach Datum, Buchungs- und Kostenstellen.</t>
  </si>
  <si>
    <t>und Kostenstellen (Ausgaben).</t>
  </si>
  <si>
    <t>Tabellenblatt "Einnahmen"</t>
  </si>
  <si>
    <t>Tabellenblatt "Ausgaben"</t>
  </si>
  <si>
    <t>Tabellenblatt "Feste Ausgaben"</t>
  </si>
  <si>
    <t>Tabellenblatt "Veränderliche Ausgaben"</t>
  </si>
  <si>
    <t>Tabellenblatt "Kreditkartenausgaben"</t>
  </si>
  <si>
    <t>Tabellenblatt "HÜL_Diagramm"</t>
  </si>
  <si>
    <t>Anweisungen und Erläuterungen zum Gebrauch der Arbeitsmappe</t>
  </si>
  <si>
    <t>Die Ausgaben, die via Kreditkarte getätigt werden sind, um eine Kostentransparenz herzustellen, nach</t>
  </si>
  <si>
    <t>Einzug durch die Bank auf die Kostenstellen aufzuteilen und über die "Ausg._Liste" zu verbuchen.</t>
  </si>
  <si>
    <t>Empfänger</t>
  </si>
  <si>
    <t>Summe je Ausgabe</t>
  </si>
  <si>
    <t>Summe /Monat</t>
  </si>
  <si>
    <t>Einzug am</t>
  </si>
  <si>
    <t>Auflistung der per Kreditkarte getätigten Ausgaben:</t>
  </si>
  <si>
    <t>Alkoh. Getränke</t>
  </si>
  <si>
    <t>Einzug</t>
  </si>
  <si>
    <t>Code</t>
  </si>
  <si>
    <t>Software</t>
  </si>
  <si>
    <t>Hardware</t>
  </si>
  <si>
    <t>Bücher, 
Zeitschriften</t>
  </si>
  <si>
    <t>Gegenstand / Ware</t>
  </si>
  <si>
    <t>Zahl-
art</t>
  </si>
  <si>
    <t>LE</t>
  </si>
  <si>
    <t>Zahlungsarten (Zahlart)</t>
  </si>
  <si>
    <t>EC</t>
  </si>
  <si>
    <t>KK</t>
  </si>
  <si>
    <t>ÜB</t>
  </si>
  <si>
    <t>DA</t>
  </si>
  <si>
    <t>Lastschrift</t>
  </si>
  <si>
    <t>EC-Karte</t>
  </si>
  <si>
    <t>Überweisung</t>
  </si>
  <si>
    <t>Dauerauftrag</t>
  </si>
  <si>
    <t>bar</t>
  </si>
  <si>
    <t>VK</t>
  </si>
  <si>
    <t>(neu)</t>
  </si>
  <si>
    <t>Geldzahlung</t>
  </si>
  <si>
    <t>Vorkasse</t>
  </si>
  <si>
    <t>NFÜ</t>
  </si>
  <si>
    <t>Smartphone</t>
  </si>
  <si>
    <t>Übersicht über die Einnahmen des Jahres</t>
  </si>
  <si>
    <t>Übersicht über "feste" Ausgaben des Jahres. Die Liste wird automatisch generiert.</t>
  </si>
  <si>
    <t>Übersicht über "variable" Ausgaben des Jahres. Die Liste wird automatisch generiert.</t>
  </si>
  <si>
    <t>Die Einnahmen und Ausgaben des Jahres werden nach Monaten einander gegenübergestellt.</t>
  </si>
  <si>
    <t>Excel-Anwendung speziell für die Buchführung rund um Ihren Haushalt</t>
  </si>
  <si>
    <t>https://www.lfl.bayern.de/iba/haushalt/085725/index.php</t>
  </si>
  <si>
    <t>G:\Werner Luck\Finanzen\2_Haushalt\lfl_anleitung_hbf.pdf</t>
  </si>
  <si>
    <r>
      <t xml:space="preserve">benutzen. Unter folgenden Links finden Sie ein </t>
    </r>
    <r>
      <rPr>
        <b/>
        <sz val="9"/>
        <color theme="1"/>
        <rFont val="Calibri"/>
        <family val="2"/>
        <scheme val="minor"/>
      </rPr>
      <t>umfassende Anleitung</t>
    </r>
    <r>
      <rPr>
        <sz val="9"/>
        <color theme="1"/>
        <rFont val="Calibri"/>
        <family val="2"/>
        <scheme val="minor"/>
      </rPr>
      <t>:</t>
    </r>
  </si>
  <si>
    <t>Sie können auch Buchführungsvorlagen aus dem Internet oder von anderen Quellen für Ihre Buchführung</t>
  </si>
  <si>
    <t>Zuzahlungen (&gt; 1000 €)</t>
  </si>
  <si>
    <t>Investitionen (&gt; 800 €)</t>
  </si>
  <si>
    <t>Familienfeiern (&gt; 1000 €)</t>
  </si>
  <si>
    <t>Außerordentliche Aufwendungen</t>
  </si>
  <si>
    <t>Abfindungen, Heiratsgut</t>
  </si>
  <si>
    <t>Außerordentliche
Aufwendungen</t>
  </si>
  <si>
    <t>Ein weiteres kostenloses Haushaltsbuch finden sie unter folgendem Link:</t>
  </si>
  <si>
    <t>https://www.geldundhaushalt.de/Ratgeber/Planungshilfen/haushaltsbuch.html</t>
  </si>
  <si>
    <t xml:space="preserve">Das Haushaltsbuch unterstützt Sie bei der Budgetkontrolle und hilft, finanzielle Spielräume zu schaffen und </t>
  </si>
  <si>
    <t xml:space="preserve">sich bei Finanzentscheidungen sicher zu fühlen. </t>
  </si>
  <si>
    <t>lichkeiten sowie außerordentliche Aufwendungen.</t>
  </si>
  <si>
    <t>Geldspenden, auch Kondolenzen</t>
  </si>
  <si>
    <t>Begriffserklärungen</t>
  </si>
  <si>
    <t>Aufwand</t>
  </si>
  <si>
    <t>Wird nur erforderlich, wenn mit dem privaten</t>
  </si>
  <si>
    <t>Haushalt auch unternehmerischen Tätigkeiten</t>
  </si>
  <si>
    <t>verbunden werden.</t>
  </si>
  <si>
    <t>Berichtigungen</t>
  </si>
  <si>
    <t>Diese Buchungen werden in der vorliegenden</t>
  </si>
  <si>
    <t xml:space="preserve">Haushaltsbuchführung in der Haushaltsstelle </t>
  </si>
  <si>
    <t>140 "Rückerstattungen" durchgeführt.</t>
  </si>
  <si>
    <t>Entnahmen</t>
  </si>
  <si>
    <t>Spielen hier keine Rolle.</t>
  </si>
  <si>
    <t>Versorgungsgrad</t>
  </si>
  <si>
    <t>Der Begriff findet hier keine Anwendung. Es</t>
  </si>
  <si>
    <t>wirtschaftlich geprägte Buchführung.</t>
  </si>
  <si>
    <t>handelt sich vorliegend  nicht um eine land-</t>
  </si>
  <si>
    <t>Der Buchungsplan gliedert die Haushaltseinnahmen und -ausgaben nach Haushalts- (Einnahmen), Buchungs-</t>
  </si>
  <si>
    <r>
      <t xml:space="preserve">Die Ausgaben sind - als Basis für eine </t>
    </r>
    <r>
      <rPr>
        <b/>
        <sz val="11"/>
        <color theme="1"/>
        <rFont val="Calibri"/>
        <family val="2"/>
        <scheme val="minor"/>
      </rPr>
      <t>Budgetplanung</t>
    </r>
    <r>
      <rPr>
        <sz val="11"/>
        <color theme="1"/>
        <rFont val="Calibri"/>
        <family val="2"/>
        <scheme val="minor"/>
      </rPr>
      <t xml:space="preserve"> - in feste und veränderliche (variable) Ausgaben ein-</t>
    </r>
  </si>
  <si>
    <t>teilt.</t>
  </si>
  <si>
    <t>Einkommensstruktur</t>
  </si>
  <si>
    <t xml:space="preserve">Sollen in der Buchführung auch Einkommen aus selbstständiger Tätigkeiten (en) erfasst werden, sind sie </t>
  </si>
  <si>
    <t>als Gewinn aus der unternehmerischen Tätigkeit zu übernehmen.</t>
  </si>
  <si>
    <t>lässt sich bei Bedarf eine Budgetplanung ableiten.</t>
  </si>
  <si>
    <t>Es erfolgt eine Unterteilung in feste (ständige) und veränderliche (variable) Ausgaben. Aus diesen Angaben</t>
  </si>
  <si>
    <t>Ausgabengliederung:</t>
  </si>
  <si>
    <t>gilt nur für diesen PC!</t>
  </si>
  <si>
    <t>Mithilfe des Autofilters lassen sich einzelne Eintragungen herausfiltern, vergleichen und auswerten.</t>
  </si>
  <si>
    <t>Autofilter</t>
  </si>
  <si>
    <t>Die Übertragung in die entsprechenden Übersichten erfolgt automatisch.</t>
  </si>
  <si>
    <t>Beispielsformel:</t>
  </si>
  <si>
    <t>SUMMEWENNS(Einn._Liste!$G$4:$G$1000;Einn._Liste!$E$4:$E$1000;116;Einn._Liste!$F$4:$F$1000;2)</t>
  </si>
  <si>
    <t>werden.</t>
  </si>
  <si>
    <t>Damit die Formel wirksam werden kann, muss natürlich das Gleichheitszeichen vorne angefügt</t>
  </si>
  <si>
    <t>Feste Ausgaben'!H10+'Veränderliche Ausgaben'!H28</t>
  </si>
  <si>
    <t>Die Liste wird aus den Eintragungen der "Einn._Liste" automatisch generiert.</t>
  </si>
  <si>
    <t>Die Liste wird aus den Eintragungen der "Ausg._Liste" automatisch generiert.</t>
  </si>
  <si>
    <t>SUMMEWENNS(Ausg._Liste!$H$4:$H$1002;Ausg._Liste!$F$4:$F$1002;1001;Ausg._Liste!$G$4:$G$1002;4)</t>
  </si>
  <si>
    <t>SUMMEWENNS(Ausg._Liste!$H$4:$H$1002;Ausg._Liste!$F$4:$F$1002;804;Ausg._Liste!$G$4:$G$1002;6)</t>
  </si>
  <si>
    <t>Die Gestaltung dieses Tabellenblattes ist offen, d.h., Sie können es nach Ihren Bedürfnissen anpassen oder</t>
  </si>
  <si>
    <t>auch erweitern.</t>
  </si>
  <si>
    <t>Zusammenfassung</t>
  </si>
  <si>
    <t xml:space="preserve">Sie dient weiters dazu, Kostentransparenz und Kostenbewusstsein zu schaffen sowie die Haushaltseinnahmen </t>
  </si>
  <si>
    <t>aufzuzeigen, wobei hierbei auch Möglichkeiten neuer Einnahmequellen aufscheinen können.</t>
  </si>
  <si>
    <t>All diese Informationen sollen eine wirksamere Planung, Steuerung und Kontrolle von Kosten und Einnahmen</t>
  </si>
  <si>
    <t>ermöglichen.</t>
  </si>
  <si>
    <t>Die vorliegende Haushaltsbuchführung ist nach dem Konzept einer einfachen Einnahmen-Ausgaben-Aufschrei-</t>
  </si>
  <si>
    <t>bung für private Haushalte gestaltet.</t>
  </si>
  <si>
    <t>Hinweise zur Durchführung der Haushaltsbuchführung</t>
  </si>
  <si>
    <t>Laufende Buchungen</t>
  </si>
  <si>
    <t>Für die Dokumentation der Ausgaben sind 14 Konten und 67 Kostenstellen vorgesehen.</t>
  </si>
  <si>
    <t>Die Konten werden in Kostenstellen für feste und variable Ausgaben unterteilt. Es gibt Konten,</t>
  </si>
  <si>
    <t xml:space="preserve">Eintragungen erfolgen im Tabellenblatt "Ausg._Liste". </t>
  </si>
  <si>
    <t>Im Tabellenblatt  "Einn._Liste" werden die monatlichen Einkünfte eingetragen.</t>
  </si>
  <si>
    <t>Im Tabellenblatt "Ausgaben" werden die Eintragungen nach Konten zusammengefasst.</t>
  </si>
  <si>
    <t>Hier verschaffen Sie sich einen Überblick über die getätigten Kreditkarenausgaben.  Sie tragen jede Transaktion</t>
  </si>
  <si>
    <t xml:space="preserve">ein und teilen sie - falls erforderlich - auf die Kostenstellen auf. </t>
  </si>
  <si>
    <t>Diese einfache Haushaltsbuchführung ist ausschließlich für Privathaushalte bestimmt, die sich einen Überblick</t>
  </si>
  <si>
    <t>über ihre laufenden Einnahmen und Ausgaben verschaffen und sich zeitnahe Regulierungsmöglichkeiten</t>
  </si>
  <si>
    <t>angepasst werden.</t>
  </si>
  <si>
    <t>offenhalten möchten. Sie ist in ihren Buchungsstellen variabel, d. h. sie kann den persönlichen Bedürfnissen</t>
  </si>
  <si>
    <t xml:space="preserve">Erstellt von </t>
  </si>
  <si>
    <t xml:space="preserve">Beuren, </t>
  </si>
  <si>
    <t>die nur feste oder variable, aber auch Konten, die feste und variable Ausgaben enthalten. Die</t>
  </si>
  <si>
    <t>Er kann - je nach Bedürfnis - ergänzt und geändert werden. Auch weitergehende Differenzierungen in den</t>
  </si>
  <si>
    <t xml:space="preserve">Ausgaben für: Wohnen, Hauswirtschaft, Ernährung, Körper- und Gesundheitspflege, </t>
  </si>
  <si>
    <r>
      <t xml:space="preserve">Die </t>
    </r>
    <r>
      <rPr>
        <b/>
        <sz val="11"/>
        <color theme="1"/>
        <rFont val="Calibri"/>
        <family val="2"/>
        <scheme val="minor"/>
      </rPr>
      <t xml:space="preserve">Haushaltsüberwachungsliste </t>
    </r>
    <r>
      <rPr>
        <sz val="11"/>
        <color theme="1"/>
        <rFont val="Calibri"/>
        <family val="2"/>
        <scheme val="minor"/>
      </rPr>
      <t>stellt die grundlegende Informationsquelle der Haushaltsbuchführung dar.</t>
    </r>
  </si>
  <si>
    <t>Sie ergibt einen schnellen und aktuellen Überblick über die laufenden Einnahmen und Ausgaben des Jahres.</t>
  </si>
  <si>
    <t>Die Einnahmen werden hier nach Datum, Einzahler, Haushaltstelle und Monat aufgelistet.</t>
  </si>
  <si>
    <t>Eine Filterung nach Zahlungsart ermöglicht einen Überblick über Bar- oder unbare Zahlungen.</t>
  </si>
  <si>
    <t>Übersicht über die Ausgaben des Jahres nach Konten.</t>
  </si>
  <si>
    <t>Einnahmen und Ausgaben im Haushaltsjahr nach Monaten</t>
  </si>
  <si>
    <t>Mitgliedsbeiträge, auch Skatclub</t>
  </si>
  <si>
    <t>Aktualisieren, wenn Ausgabe anfällt!</t>
  </si>
  <si>
    <r>
      <t xml:space="preserve">Nach Einzug durch die Bank ist die </t>
    </r>
    <r>
      <rPr>
        <b/>
        <sz val="9"/>
        <color rgb="FFFF0000"/>
        <rFont val="Calibri"/>
        <family val="2"/>
        <scheme val="minor"/>
      </rPr>
      <t>Aus._Liste</t>
    </r>
    <r>
      <rPr>
        <b/>
        <sz val="9"/>
        <color theme="1"/>
        <rFont val="Calibri"/>
        <family val="2"/>
        <scheme val="minor"/>
      </rPr>
      <t xml:space="preserve"> zu ergänzen!</t>
    </r>
  </si>
  <si>
    <t>Öffentliche Verkehrsmittel (Fahrkarten)</t>
  </si>
  <si>
    <t>Sa.:</t>
  </si>
  <si>
    <t>Hinweis (z. B. auf mögliche andere Verfahrensweisen,  Fundstellen usw.)</t>
  </si>
  <si>
    <t>Müllabfuhr</t>
  </si>
  <si>
    <t>Labor, Physiotherapie</t>
  </si>
  <si>
    <t>Reperaturen, Kfz.-Zubehör</t>
  </si>
  <si>
    <t>Fotografie</t>
  </si>
  <si>
    <t>Unfallversicherung, Berufsgenossenschaft</t>
  </si>
  <si>
    <t>Krankenversicherung, Pflegeversicherung</t>
  </si>
  <si>
    <t>Sonstige: Hausrat, Haftpflicht, Rechtsschutz...</t>
  </si>
  <si>
    <r>
      <t xml:space="preserve">Investitionen (&gt; 800 €) </t>
    </r>
    <r>
      <rPr>
        <sz val="8"/>
        <color theme="1"/>
        <rFont val="Calibri"/>
        <family val="2"/>
        <scheme val="minor"/>
      </rPr>
      <t>Neu-  u. Ersatzbeschaffungen, Fahrzeuge, langlebige Gebrauchsgüter…</t>
    </r>
  </si>
  <si>
    <r>
      <t xml:space="preserve">Zuzahlungen (&gt; 1000 €) </t>
    </r>
    <r>
      <rPr>
        <sz val="8"/>
        <color theme="1"/>
        <rFont val="Calibri"/>
        <family val="2"/>
        <scheme val="minor"/>
      </rPr>
      <t>Arztkosten, Krankenhaus, Ersatzbeschaffungen, Fahrzeuge, Rechtsanwalt, Umzug…</t>
    </r>
  </si>
  <si>
    <r>
      <t xml:space="preserve">Familienfeiern (&gt; 1000 €) </t>
    </r>
    <r>
      <rPr>
        <sz val="8"/>
        <color theme="1"/>
        <rFont val="Calibri"/>
        <family val="2"/>
        <scheme val="minor"/>
      </rPr>
      <t>Geburtstage, Hochzeit, Begräbnis</t>
    </r>
  </si>
  <si>
    <t>Kranken-, Pflegeversicherung</t>
  </si>
  <si>
    <t>Sonstige: BU, Hausrat, Haftpflicht, Rechtsschutz…</t>
  </si>
  <si>
    <t>Kfz. Zubehör</t>
  </si>
  <si>
    <t>Durchlaufende
Posten</t>
  </si>
  <si>
    <t>Nachrichtlich:</t>
  </si>
  <si>
    <t>in Monat
bezahlt</t>
  </si>
  <si>
    <t>Gesamt-
betrag</t>
  </si>
  <si>
    <t>ltr</t>
  </si>
  <si>
    <t>Kartengebühr</t>
  </si>
  <si>
    <t>Differenz</t>
  </si>
  <si>
    <t>Kreditkartenkosten</t>
  </si>
  <si>
    <t>Summe
Ausgaben</t>
  </si>
  <si>
    <t>Kredite, Darlehen</t>
  </si>
  <si>
    <t>Rückzahlung Weihnachtskredit</t>
  </si>
  <si>
    <t>Heizenergie, Heizungswartung, Schornsteinfeger</t>
  </si>
  <si>
    <t>Reperaturen, Werkzeuge, Geräte, Maschinen</t>
  </si>
  <si>
    <t>Hausrat und kleine Geräte, Verbrauchsmaterial</t>
  </si>
  <si>
    <t>Versicherungsbeiträge</t>
  </si>
  <si>
    <t>Sonstiges (auch Boni)</t>
  </si>
  <si>
    <t>xxxx</t>
  </si>
  <si>
    <t>Tel.: 06586 986025</t>
  </si>
  <si>
    <t>E-Mail: wernerluck@web.de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</si>
</sst>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20"/>
      <color theme="1"/>
      <name val="Calibri"/>
      <family val="2"/>
      <scheme val="minor"/>
    </font>
    <font>
      <b/>
      <sz val="10"/>
      <name val="Arial"/>
      <family val="2"/>
    </font>
    <font>
      <b/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20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sz val="20"/>
      <name val="Arial"/>
      <family val="2"/>
    </font>
    <font>
      <sz val="11"/>
      <name val="Arial"/>
      <family val="2"/>
    </font>
    <font>
      <sz val="14"/>
      <name val="Arial"/>
      <family val="2"/>
    </font>
    <font>
      <sz val="10"/>
      <name val="Arial"/>
      <family val="2"/>
    </font>
    <font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8"/>
      <color theme="4"/>
      <name val="Calibri"/>
      <family val="2"/>
      <scheme val="minor"/>
    </font>
    <font>
      <sz val="9"/>
      <color theme="4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15" fillId="5" borderId="0" applyNumberFormat="0" applyBorder="0" applyAlignment="0" applyProtection="0"/>
    <xf numFmtId="0" fontId="30" fillId="0" borderId="0" applyNumberFormat="0" applyFill="0" applyBorder="0" applyAlignment="0" applyProtection="0"/>
  </cellStyleXfs>
  <cellXfs count="173">
    <xf numFmtId="0" fontId="0" fillId="0" borderId="0" xfId="0"/>
    <xf numFmtId="14" fontId="0" fillId="0" borderId="0" xfId="0" applyNumberFormat="1"/>
    <xf numFmtId="44" fontId="0" fillId="0" borderId="0" xfId="1" applyFont="1"/>
    <xf numFmtId="0" fontId="0" fillId="0" borderId="0" xfId="0" applyAlignment="1">
      <alignment horizontal="center"/>
    </xf>
    <xf numFmtId="4" fontId="0" fillId="0" borderId="0" xfId="0" applyNumberFormat="1"/>
    <xf numFmtId="0" fontId="2" fillId="0" borderId="0" xfId="0" applyFont="1"/>
    <xf numFmtId="0" fontId="6" fillId="0" borderId="0" xfId="0" applyFont="1" applyFill="1" applyAlignment="1">
      <alignment horizontal="center" wrapText="1"/>
    </xf>
    <xf numFmtId="2" fontId="0" fillId="0" borderId="0" xfId="0" applyNumberFormat="1"/>
    <xf numFmtId="0" fontId="7" fillId="0" borderId="0" xfId="0" applyFont="1"/>
    <xf numFmtId="4" fontId="7" fillId="0" borderId="0" xfId="0" applyNumberFormat="1" applyFont="1"/>
    <xf numFmtId="0" fontId="8" fillId="0" borderId="0" xfId="0" applyFont="1"/>
    <xf numFmtId="0" fontId="9" fillId="0" borderId="0" xfId="0" applyFont="1"/>
    <xf numFmtId="4" fontId="2" fillId="0" borderId="0" xfId="0" applyNumberFormat="1" applyFont="1"/>
    <xf numFmtId="4" fontId="0" fillId="0" borderId="0" xfId="0" applyNumberFormat="1" applyFont="1"/>
    <xf numFmtId="44" fontId="8" fillId="0" borderId="0" xfId="1" applyFont="1"/>
    <xf numFmtId="0" fontId="6" fillId="0" borderId="0" xfId="0" applyFont="1" applyFill="1" applyAlignment="1">
      <alignment horizontal="left" vertical="center" wrapText="1"/>
    </xf>
    <xf numFmtId="0" fontId="0" fillId="0" borderId="0" xfId="0" applyAlignment="1">
      <alignment wrapText="1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0" fillId="0" borderId="0" xfId="0" applyFont="1"/>
    <xf numFmtId="44" fontId="2" fillId="0" borderId="0" xfId="1" applyFont="1"/>
    <xf numFmtId="0" fontId="11" fillId="2" borderId="0" xfId="0" applyFont="1" applyFill="1" applyAlignment="1"/>
    <xf numFmtId="0" fontId="0" fillId="2" borderId="0" xfId="0" applyFill="1"/>
    <xf numFmtId="0" fontId="0" fillId="2" borderId="0" xfId="0" applyFill="1" applyAlignment="1">
      <alignment horizontal="center"/>
    </xf>
    <xf numFmtId="0" fontId="12" fillId="0" borderId="0" xfId="0" applyFont="1"/>
    <xf numFmtId="44" fontId="2" fillId="0" borderId="0" xfId="1" applyFont="1" applyAlignment="1">
      <alignment vertical="center"/>
    </xf>
    <xf numFmtId="44" fontId="0" fillId="0" borderId="0" xfId="0" applyNumberFormat="1"/>
    <xf numFmtId="0" fontId="13" fillId="0" borderId="0" xfId="0" applyFont="1" applyAlignment="1">
      <alignment horizontal="center"/>
    </xf>
    <xf numFmtId="44" fontId="6" fillId="0" borderId="0" xfId="1" applyFont="1" applyFill="1" applyBorder="1" applyAlignment="1">
      <alignment horizontal="center" wrapText="1"/>
    </xf>
    <xf numFmtId="44" fontId="2" fillId="0" borderId="1" xfId="1" applyFont="1" applyBorder="1"/>
    <xf numFmtId="0" fontId="0" fillId="6" borderId="0" xfId="0" applyFill="1"/>
    <xf numFmtId="44" fontId="0" fillId="6" borderId="0" xfId="0" applyNumberFormat="1" applyFill="1"/>
    <xf numFmtId="4" fontId="14" fillId="7" borderId="0" xfId="0" applyNumberFormat="1" applyFont="1" applyFill="1"/>
    <xf numFmtId="4" fontId="0" fillId="7" borderId="0" xfId="0" applyNumberFormat="1" applyFill="1"/>
    <xf numFmtId="0" fontId="0" fillId="7" borderId="0" xfId="0" applyFill="1"/>
    <xf numFmtId="44" fontId="10" fillId="7" borderId="0" xfId="1" applyFont="1" applyFill="1" applyAlignment="1">
      <alignment horizontal="right"/>
    </xf>
    <xf numFmtId="44" fontId="14" fillId="6" borderId="0" xfId="1" applyFont="1" applyFill="1"/>
    <xf numFmtId="44" fontId="2" fillId="7" borderId="0" xfId="1" applyFont="1" applyFill="1" applyBorder="1"/>
    <xf numFmtId="4" fontId="14" fillId="8" borderId="0" xfId="0" applyNumberFormat="1" applyFont="1" applyFill="1"/>
    <xf numFmtId="44" fontId="8" fillId="10" borderId="0" xfId="1" applyFont="1" applyFill="1"/>
    <xf numFmtId="44" fontId="8" fillId="10" borderId="1" xfId="1" applyFont="1" applyFill="1" applyBorder="1"/>
    <xf numFmtId="44" fontId="16" fillId="10" borderId="1" xfId="1" applyFont="1" applyFill="1" applyBorder="1"/>
    <xf numFmtId="44" fontId="2" fillId="10" borderId="1" xfId="1" applyFont="1" applyFill="1" applyBorder="1"/>
    <xf numFmtId="0" fontId="15" fillId="5" borderId="0" xfId="2"/>
    <xf numFmtId="0" fontId="15" fillId="5" borderId="0" xfId="2" applyAlignment="1">
      <alignment horizontal="center"/>
    </xf>
    <xf numFmtId="44" fontId="15" fillId="5" borderId="0" xfId="2" applyNumberFormat="1"/>
    <xf numFmtId="0" fontId="17" fillId="5" borderId="0" xfId="2" applyFont="1"/>
    <xf numFmtId="0" fontId="5" fillId="6" borderId="0" xfId="0" applyFont="1" applyFill="1"/>
    <xf numFmtId="0" fontId="5" fillId="9" borderId="0" xfId="0" applyFont="1" applyFill="1"/>
    <xf numFmtId="0" fontId="0" fillId="9" borderId="0" xfId="0" applyFill="1"/>
    <xf numFmtId="0" fontId="0" fillId="9" borderId="0" xfId="0" applyFill="1" applyAlignment="1">
      <alignment horizontal="center"/>
    </xf>
    <xf numFmtId="1" fontId="14" fillId="9" borderId="0" xfId="1" applyNumberFormat="1" applyFont="1" applyFill="1" applyAlignment="1">
      <alignment horizontal="center"/>
    </xf>
    <xf numFmtId="1" fontId="0" fillId="9" borderId="0" xfId="1" applyNumberFormat="1" applyFont="1" applyFill="1" applyAlignment="1">
      <alignment horizontal="center"/>
    </xf>
    <xf numFmtId="4" fontId="8" fillId="6" borderId="0" xfId="0" applyNumberFormat="1" applyFont="1" applyFill="1"/>
    <xf numFmtId="0" fontId="5" fillId="7" borderId="0" xfId="0" applyFont="1" applyFill="1"/>
    <xf numFmtId="0" fontId="19" fillId="11" borderId="2" xfId="0" applyFont="1" applyFill="1" applyBorder="1"/>
    <xf numFmtId="0" fontId="0" fillId="11" borderId="3" xfId="0" applyFill="1" applyBorder="1"/>
    <xf numFmtId="0" fontId="0" fillId="11" borderId="4" xfId="0" applyFill="1" applyBorder="1"/>
    <xf numFmtId="0" fontId="20" fillId="11" borderId="5" xfId="0" applyFont="1" applyFill="1" applyBorder="1"/>
    <xf numFmtId="0" fontId="0" fillId="11" borderId="0" xfId="0" applyFill="1" applyBorder="1"/>
    <xf numFmtId="0" fontId="0" fillId="11" borderId="6" xfId="0" applyFill="1" applyBorder="1"/>
    <xf numFmtId="0" fontId="0" fillId="11" borderId="5" xfId="0" applyFill="1" applyBorder="1"/>
    <xf numFmtId="0" fontId="22" fillId="11" borderId="0" xfId="0" applyFont="1" applyFill="1" applyBorder="1"/>
    <xf numFmtId="0" fontId="22" fillId="11" borderId="5" xfId="0" applyFont="1" applyFill="1" applyBorder="1"/>
    <xf numFmtId="0" fontId="0" fillId="11" borderId="7" xfId="0" applyFill="1" applyBorder="1"/>
    <xf numFmtId="0" fontId="0" fillId="11" borderId="8" xfId="0" applyFill="1" applyBorder="1"/>
    <xf numFmtId="0" fontId="0" fillId="11" borderId="9" xfId="0" applyFill="1" applyBorder="1"/>
    <xf numFmtId="0" fontId="2" fillId="0" borderId="0" xfId="0" applyFont="1" applyAlignment="1">
      <alignment horizontal="center"/>
    </xf>
    <xf numFmtId="0" fontId="11" fillId="6" borderId="0" xfId="0" applyFont="1" applyFill="1" applyAlignment="1"/>
    <xf numFmtId="0" fontId="2" fillId="9" borderId="0" xfId="0" applyFont="1" applyFill="1" applyAlignment="1">
      <alignment horizontal="center" wrapText="1"/>
    </xf>
    <xf numFmtId="0" fontId="2" fillId="9" borderId="0" xfId="0" applyFont="1" applyFill="1" applyAlignment="1">
      <alignment horizontal="center" vertical="center"/>
    </xf>
    <xf numFmtId="0" fontId="2" fillId="9" borderId="0" xfId="0" applyFont="1" applyFill="1" applyAlignment="1">
      <alignment horizontal="center" vertical="center" wrapText="1"/>
    </xf>
    <xf numFmtId="0" fontId="23" fillId="0" borderId="0" xfId="0" applyFont="1"/>
    <xf numFmtId="0" fontId="5" fillId="12" borderId="0" xfId="0" applyFont="1" applyFill="1"/>
    <xf numFmtId="44" fontId="8" fillId="12" borderId="0" xfId="1" applyFont="1" applyFill="1" applyBorder="1"/>
    <xf numFmtId="44" fontId="1" fillId="0" borderId="0" xfId="1" applyFont="1"/>
    <xf numFmtId="0" fontId="24" fillId="0" borderId="0" xfId="0" applyFont="1" applyAlignment="1">
      <alignment horizontal="center" wrapText="1"/>
    </xf>
    <xf numFmtId="0" fontId="26" fillId="0" borderId="0" xfId="0" applyFont="1" applyAlignment="1">
      <alignment horizontal="right"/>
    </xf>
    <xf numFmtId="0" fontId="25" fillId="13" borderId="0" xfId="0" applyFont="1" applyFill="1"/>
    <xf numFmtId="0" fontId="0" fillId="13" borderId="0" xfId="0" applyFill="1"/>
    <xf numFmtId="0" fontId="14" fillId="3" borderId="0" xfId="0" applyFont="1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27" fillId="0" borderId="0" xfId="0" applyFont="1"/>
    <xf numFmtId="44" fontId="0" fillId="0" borderId="0" xfId="1" applyFont="1" applyAlignment="1"/>
    <xf numFmtId="44" fontId="0" fillId="0" borderId="0" xfId="1" applyFont="1" applyAlignment="1">
      <alignment horizontal="right"/>
    </xf>
    <xf numFmtId="0" fontId="0" fillId="0" borderId="0" xfId="0" applyAlignment="1"/>
    <xf numFmtId="0" fontId="2" fillId="0" borderId="0" xfId="0" applyFont="1" applyAlignment="1">
      <alignment horizontal="center"/>
    </xf>
    <xf numFmtId="0" fontId="0" fillId="3" borderId="0" xfId="0" applyFill="1" applyAlignment="1"/>
    <xf numFmtId="0" fontId="28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5" fillId="3" borderId="0" xfId="0" applyFont="1" applyFill="1"/>
    <xf numFmtId="0" fontId="0" fillId="14" borderId="0" xfId="0" applyFill="1"/>
    <xf numFmtId="44" fontId="0" fillId="14" borderId="0" xfId="1" applyFont="1" applyFill="1"/>
    <xf numFmtId="44" fontId="5" fillId="14" borderId="0" xfId="1" applyFont="1" applyFill="1"/>
    <xf numFmtId="0" fontId="0" fillId="14" borderId="0" xfId="0" applyFill="1" applyAlignment="1">
      <alignment horizontal="center"/>
    </xf>
    <xf numFmtId="44" fontId="0" fillId="0" borderId="0" xfId="1" applyFont="1" applyAlignment="1">
      <alignment horizontal="center"/>
    </xf>
    <xf numFmtId="0" fontId="2" fillId="0" borderId="8" xfId="0" applyFont="1" applyBorder="1" applyAlignment="1">
      <alignment horizontal="center"/>
    </xf>
    <xf numFmtId="44" fontId="0" fillId="14" borderId="0" xfId="1" applyFont="1" applyFill="1" applyAlignment="1">
      <alignment horizontal="center"/>
    </xf>
    <xf numFmtId="44" fontId="2" fillId="0" borderId="1" xfId="0" applyNumberFormat="1" applyFont="1" applyBorder="1"/>
    <xf numFmtId="44" fontId="2" fillId="0" borderId="0" xfId="1" applyFont="1" applyAlignment="1"/>
    <xf numFmtId="0" fontId="0" fillId="0" borderId="0" xfId="0" applyAlignment="1">
      <alignment horizontal="center" wrapText="1"/>
    </xf>
    <xf numFmtId="0" fontId="30" fillId="0" borderId="0" xfId="3"/>
    <xf numFmtId="0" fontId="26" fillId="0" borderId="2" xfId="0" applyFont="1" applyBorder="1" applyAlignment="1">
      <alignment horizontal="right"/>
    </xf>
    <xf numFmtId="0" fontId="10" fillId="0" borderId="3" xfId="0" applyFont="1" applyBorder="1"/>
    <xf numFmtId="0" fontId="0" fillId="0" borderId="3" xfId="0" applyBorder="1"/>
    <xf numFmtId="0" fontId="0" fillId="0" borderId="4" xfId="0" applyBorder="1"/>
    <xf numFmtId="0" fontId="26" fillId="0" borderId="5" xfId="0" applyFont="1" applyBorder="1" applyAlignment="1">
      <alignment horizontal="right"/>
    </xf>
    <xf numFmtId="0" fontId="10" fillId="0" borderId="0" xfId="0" applyFont="1" applyBorder="1"/>
    <xf numFmtId="0" fontId="0" fillId="0" borderId="0" xfId="0" applyBorder="1"/>
    <xf numFmtId="0" fontId="0" fillId="0" borderId="6" xfId="0" applyBorder="1"/>
    <xf numFmtId="0" fontId="30" fillId="0" borderId="0" xfId="3" applyBorder="1"/>
    <xf numFmtId="0" fontId="26" fillId="0" borderId="7" xfId="0" applyFont="1" applyBorder="1" applyAlignment="1">
      <alignment horizontal="right"/>
    </xf>
    <xf numFmtId="0" fontId="30" fillId="0" borderId="8" xfId="3" applyBorder="1"/>
    <xf numFmtId="0" fontId="0" fillId="0" borderId="8" xfId="0" applyBorder="1"/>
    <xf numFmtId="0" fontId="0" fillId="0" borderId="9" xfId="0" applyBorder="1"/>
    <xf numFmtId="0" fontId="24" fillId="0" borderId="0" xfId="0" applyFont="1" applyBorder="1"/>
    <xf numFmtId="0" fontId="31" fillId="0" borderId="3" xfId="0" applyFont="1" applyBorder="1"/>
    <xf numFmtId="0" fontId="0" fillId="0" borderId="7" xfId="0" applyBorder="1"/>
    <xf numFmtId="0" fontId="31" fillId="0" borderId="8" xfId="0" applyFont="1" applyBorder="1"/>
    <xf numFmtId="0" fontId="0" fillId="0" borderId="0" xfId="0" applyAlignment="1">
      <alignment horizontal="right"/>
    </xf>
    <xf numFmtId="4" fontId="0" fillId="0" borderId="0" xfId="0" quotePrefix="1" applyNumberFormat="1" applyFont="1"/>
    <xf numFmtId="4" fontId="32" fillId="0" borderId="0" xfId="0" applyNumberFormat="1" applyFont="1"/>
    <xf numFmtId="4" fontId="33" fillId="0" borderId="0" xfId="0" quotePrefix="1" applyNumberFormat="1" applyFont="1"/>
    <xf numFmtId="0" fontId="33" fillId="0" borderId="0" xfId="0" applyFont="1"/>
    <xf numFmtId="0" fontId="16" fillId="0" borderId="0" xfId="0" applyFont="1" applyAlignment="1">
      <alignment horizontal="right"/>
    </xf>
    <xf numFmtId="44" fontId="16" fillId="0" borderId="0" xfId="1" applyFont="1"/>
    <xf numFmtId="44" fontId="5" fillId="13" borderId="0" xfId="1" applyFont="1" applyFill="1" applyAlignment="1"/>
    <xf numFmtId="44" fontId="10" fillId="0" borderId="0" xfId="1" applyFont="1"/>
    <xf numFmtId="44" fontId="29" fillId="14" borderId="0" xfId="1" applyFont="1" applyFill="1"/>
    <xf numFmtId="0" fontId="29" fillId="3" borderId="0" xfId="0" applyFont="1" applyFill="1"/>
    <xf numFmtId="4" fontId="35" fillId="12" borderId="0" xfId="0" applyNumberFormat="1" applyFont="1" applyFill="1"/>
    <xf numFmtId="4" fontId="2" fillId="7" borderId="0" xfId="0" applyNumberFormat="1" applyFont="1" applyFill="1"/>
    <xf numFmtId="4" fontId="2" fillId="7" borderId="0" xfId="0" applyNumberFormat="1" applyFont="1" applyFill="1" applyAlignment="1">
      <alignment horizontal="center"/>
    </xf>
    <xf numFmtId="0" fontId="2" fillId="12" borderId="0" xfId="0" applyFont="1" applyFill="1" applyAlignment="1">
      <alignment horizontal="center"/>
    </xf>
    <xf numFmtId="0" fontId="8" fillId="6" borderId="0" xfId="0" applyFont="1" applyFill="1" applyAlignment="1">
      <alignment horizontal="center"/>
    </xf>
    <xf numFmtId="44" fontId="10" fillId="0" borderId="0" xfId="1" applyFont="1" applyAlignment="1"/>
    <xf numFmtId="0" fontId="2" fillId="0" borderId="0" xfId="0" applyFont="1" applyAlignment="1">
      <alignment horizontal="center"/>
    </xf>
    <xf numFmtId="0" fontId="10" fillId="0" borderId="0" xfId="0" applyFont="1" applyAlignment="1"/>
    <xf numFmtId="0" fontId="24" fillId="0" borderId="0" xfId="0" applyFont="1"/>
    <xf numFmtId="0" fontId="2" fillId="0" borderId="0" xfId="0" applyFont="1" applyAlignment="1">
      <alignment horizontal="center" wrapText="1"/>
    </xf>
    <xf numFmtId="44" fontId="2" fillId="0" borderId="0" xfId="0" applyNumberFormat="1" applyFont="1"/>
    <xf numFmtId="0" fontId="2" fillId="15" borderId="0" xfId="0" applyFont="1" applyFill="1" applyAlignment="1">
      <alignment horizontal="center"/>
    </xf>
    <xf numFmtId="0" fontId="2" fillId="0" borderId="8" xfId="0" applyFont="1" applyBorder="1" applyAlignment="1">
      <alignment horizontal="center" wrapText="1"/>
    </xf>
    <xf numFmtId="14" fontId="0" fillId="0" borderId="0" xfId="1" applyNumberFormat="1" applyFont="1" applyAlignment="1"/>
    <xf numFmtId="0" fontId="2" fillId="7" borderId="0" xfId="0" applyFont="1" applyFill="1"/>
    <xf numFmtId="0" fontId="2" fillId="7" borderId="0" xfId="0" applyFont="1" applyFill="1" applyAlignment="1">
      <alignment wrapText="1"/>
    </xf>
    <xf numFmtId="0" fontId="2" fillId="7" borderId="0" xfId="0" applyFont="1" applyFill="1" applyAlignment="1"/>
    <xf numFmtId="2" fontId="0" fillId="0" borderId="0" xfId="1" applyNumberFormat="1" applyFont="1" applyAlignment="1"/>
    <xf numFmtId="2" fontId="0" fillId="0" borderId="0" xfId="1" applyNumberFormat="1" applyFont="1"/>
    <xf numFmtId="44" fontId="0" fillId="9" borderId="0" xfId="1" applyFont="1" applyFill="1" applyAlignment="1">
      <alignment horizontal="right"/>
    </xf>
    <xf numFmtId="44" fontId="2" fillId="0" borderId="1" xfId="1" applyFont="1" applyBorder="1" applyAlignment="1">
      <alignment horizontal="right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1" applyNumberFormat="1" applyFont="1" applyAlignment="1"/>
    <xf numFmtId="0" fontId="0" fillId="11" borderId="5" xfId="0" applyFill="1" applyBorder="1" applyAlignment="1">
      <alignment horizontal="center"/>
    </xf>
    <xf numFmtId="0" fontId="0" fillId="11" borderId="0" xfId="0" applyFill="1" applyBorder="1" applyAlignment="1">
      <alignment horizontal="center"/>
    </xf>
    <xf numFmtId="0" fontId="0" fillId="11" borderId="6" xfId="0" applyFill="1" applyBorder="1" applyAlignment="1">
      <alignment horizontal="center"/>
    </xf>
    <xf numFmtId="0" fontId="21" fillId="11" borderId="5" xfId="0" applyFont="1" applyFill="1" applyBorder="1" applyAlignment="1">
      <alignment horizontal="center"/>
    </xf>
    <xf numFmtId="0" fontId="21" fillId="11" borderId="0" xfId="0" applyFont="1" applyFill="1" applyBorder="1" applyAlignment="1">
      <alignment horizontal="center"/>
    </xf>
    <xf numFmtId="0" fontId="21" fillId="11" borderId="6" xfId="0" applyFont="1" applyFill="1" applyBorder="1" applyAlignment="1">
      <alignment horizontal="center"/>
    </xf>
    <xf numFmtId="0" fontId="19" fillId="11" borderId="5" xfId="0" applyFont="1" applyFill="1" applyBorder="1" applyAlignment="1">
      <alignment horizontal="center"/>
    </xf>
    <xf numFmtId="0" fontId="19" fillId="11" borderId="0" xfId="0" applyFont="1" applyFill="1" applyBorder="1" applyAlignment="1">
      <alignment horizontal="center"/>
    </xf>
    <xf numFmtId="0" fontId="19" fillId="11" borderId="6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2" fillId="7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/>
    </xf>
    <xf numFmtId="0" fontId="5" fillId="4" borderId="0" xfId="0" applyFont="1" applyFill="1" applyAlignment="1">
      <alignment horizontal="center"/>
    </xf>
    <xf numFmtId="0" fontId="14" fillId="3" borderId="0" xfId="0" applyFont="1" applyFill="1" applyAlignment="1">
      <alignment horizontal="center"/>
    </xf>
    <xf numFmtId="0" fontId="14" fillId="4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8" fillId="5" borderId="0" xfId="2" applyFont="1" applyAlignment="1">
      <alignment horizontal="center"/>
    </xf>
  </cellXfs>
  <cellStyles count="4">
    <cellStyle name="Akzent3" xfId="2" builtinId="37"/>
    <cellStyle name="Hyperlink" xfId="3" builtinId="8"/>
    <cellStyle name="Standard" xfId="0" builtinId="0"/>
    <cellStyle name="Währung" xfId="1" builtinId="4"/>
  </cellStyles>
  <dxfs count="1"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hartsheet" Target="chartsheets/sheet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Übersicht Einnahmen/Ausgaben</a:t>
            </a:r>
          </a:p>
        </c:rich>
      </c:tx>
      <c:layout>
        <c:manualLayout>
          <c:xMode val="edge"/>
          <c:yMode val="edge"/>
          <c:x val="0.33330986298548415"/>
          <c:y val="1.2670519923644321E-2"/>
        </c:manualLayout>
      </c:layout>
      <c:overlay val="0"/>
      <c:spPr>
        <a:gradFill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lin ang="5400000" scaled="0"/>
        </a:gradFill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HÜL!$B$3</c:f>
              <c:strCache>
                <c:ptCount val="1"/>
                <c:pt idx="0">
                  <c:v>Einnahmen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cat>
            <c:strRef>
              <c:f>HÜL!$A$4:$A$16</c:f>
              <c:strCache>
                <c:ptCount val="13"/>
                <c:pt idx="0">
                  <c:v>Januar</c:v>
                </c:pt>
                <c:pt idx="1">
                  <c:v>Februar</c:v>
                </c:pt>
                <c:pt idx="2">
                  <c:v>März</c:v>
                </c:pt>
                <c:pt idx="3">
                  <c:v>April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August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Dezember</c:v>
                </c:pt>
                <c:pt idx="12">
                  <c:v>Jahr</c:v>
                </c:pt>
              </c:strCache>
            </c:strRef>
          </c:cat>
          <c:val>
            <c:numRef>
              <c:f>HÜL!$B$4:$B$16</c:f>
              <c:numCache>
                <c:formatCode>_("€"* #,##0.00_);_("€"* \(#,##0.00\);_("€"* "-"??_);_(@_)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14"/>
          <c:order val="1"/>
          <c:tx>
            <c:v>Ausgaben</c:v>
          </c:tx>
          <c:spPr>
            <a:solidFill>
              <a:schemeClr val="accent2">
                <a:lumMod val="60000"/>
                <a:lumOff val="40000"/>
              </a:schemeClr>
            </a:solidFill>
          </c:spPr>
          <c:invertIfNegative val="0"/>
          <c:cat>
            <c:strRef>
              <c:f>HÜL!$A$4:$A$16</c:f>
              <c:strCache>
                <c:ptCount val="13"/>
                <c:pt idx="0">
                  <c:v>Januar</c:v>
                </c:pt>
                <c:pt idx="1">
                  <c:v>Februar</c:v>
                </c:pt>
                <c:pt idx="2">
                  <c:v>März</c:v>
                </c:pt>
                <c:pt idx="3">
                  <c:v>April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August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Dezember</c:v>
                </c:pt>
                <c:pt idx="12">
                  <c:v>Jahr</c:v>
                </c:pt>
              </c:strCache>
            </c:strRef>
          </c:cat>
          <c:val>
            <c:numRef>
              <c:f>HÜL!$Q$4:$Q$16</c:f>
              <c:numCache>
                <c:formatCode>_("€"* #,##0.00_);_("€"* \(#,##0.00\);_("€"* "-"??_);_(@_)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4065024"/>
        <c:axId val="354079104"/>
      </c:barChart>
      <c:catAx>
        <c:axId val="354065024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354079104"/>
        <c:crosses val="autoZero"/>
        <c:auto val="1"/>
        <c:lblAlgn val="ctr"/>
        <c:lblOffset val="100"/>
        <c:noMultiLvlLbl val="0"/>
      </c:catAx>
      <c:valAx>
        <c:axId val="354079104"/>
        <c:scaling>
          <c:orientation val="minMax"/>
        </c:scaling>
        <c:delete val="0"/>
        <c:axPos val="l"/>
        <c:majorGridlines/>
        <c:numFmt formatCode="_(&quot;€&quot;* #,##0.00_);_(&quot;€&quot;* \(#,##0.00\);_(&quot;€&quot;* &quot;-&quot;??_);_(@_)" sourceLinked="1"/>
        <c:majorTickMark val="out"/>
        <c:minorTickMark val="none"/>
        <c:tickLblPos val="nextTo"/>
        <c:crossAx val="354065024"/>
        <c:crosses val="autoZero"/>
        <c:crossBetween val="between"/>
      </c:valAx>
      <c:dTable>
        <c:showHorzBorder val="1"/>
        <c:showVertBorder val="1"/>
        <c:showOutline val="1"/>
        <c:showKeys val="1"/>
      </c:dTable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Diagramm12"/>
  <sheetViews>
    <sheetView tabSelected="1" zoomScale="137" workbookViewId="0" zoomToFit="1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tiff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424963</xdr:colOff>
      <xdr:row>3</xdr:row>
      <xdr:rowOff>29308</xdr:rowOff>
    </xdr:from>
    <xdr:to>
      <xdr:col>7</xdr:col>
      <xdr:colOff>556847</xdr:colOff>
      <xdr:row>6</xdr:row>
      <xdr:rowOff>183173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21521" y="732693"/>
          <a:ext cx="893884" cy="893884"/>
        </a:xfrm>
        <a:prstGeom prst="rect">
          <a:avLst/>
        </a:prstGeom>
      </xdr:spPr>
    </xdr:pic>
    <xdr:clientData/>
  </xdr:twoCellAnchor>
  <xdr:twoCellAnchor editAs="oneCell">
    <xdr:from>
      <xdr:col>6</xdr:col>
      <xdr:colOff>577363</xdr:colOff>
      <xdr:row>3</xdr:row>
      <xdr:rowOff>181708</xdr:rowOff>
    </xdr:from>
    <xdr:to>
      <xdr:col>7</xdr:col>
      <xdr:colOff>709247</xdr:colOff>
      <xdr:row>7</xdr:row>
      <xdr:rowOff>145073</xdr:rowOff>
    </xdr:to>
    <xdr:pic>
      <xdr:nvPicPr>
        <xdr:cNvPr id="5" name="Grafik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3921" y="885093"/>
          <a:ext cx="893884" cy="893884"/>
        </a:xfrm>
        <a:prstGeom prst="rect">
          <a:avLst/>
        </a:prstGeom>
      </xdr:spPr>
    </xdr:pic>
    <xdr:clientData/>
  </xdr:twoCellAnchor>
  <xdr:twoCellAnchor editAs="oneCell">
    <xdr:from>
      <xdr:col>7</xdr:col>
      <xdr:colOff>238859</xdr:colOff>
      <xdr:row>3</xdr:row>
      <xdr:rowOff>143608</xdr:rowOff>
    </xdr:from>
    <xdr:to>
      <xdr:col>8</xdr:col>
      <xdr:colOff>370743</xdr:colOff>
      <xdr:row>7</xdr:row>
      <xdr:rowOff>106973</xdr:rowOff>
    </xdr:to>
    <xdr:pic>
      <xdr:nvPicPr>
        <xdr:cNvPr id="6" name="Grafik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97417" y="846993"/>
          <a:ext cx="893884" cy="89388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168520</xdr:colOff>
      <xdr:row>100</xdr:row>
      <xdr:rowOff>32238</xdr:rowOff>
    </xdr:from>
    <xdr:to>
      <xdr:col>8</xdr:col>
      <xdr:colOff>520213</xdr:colOff>
      <xdr:row>103</xdr:row>
      <xdr:rowOff>60813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520" y="2845776"/>
          <a:ext cx="7554058" cy="600075"/>
        </a:xfrm>
        <a:prstGeom prst="rect">
          <a:avLst/>
        </a:prstGeom>
      </xdr:spPr>
    </xdr:pic>
    <xdr:clientData/>
  </xdr:twoCellAnchor>
  <xdr:twoCellAnchor editAs="oneCell">
    <xdr:from>
      <xdr:col>1</xdr:col>
      <xdr:colOff>58614</xdr:colOff>
      <xdr:row>144</xdr:row>
      <xdr:rowOff>29308</xdr:rowOff>
    </xdr:from>
    <xdr:to>
      <xdr:col>8</xdr:col>
      <xdr:colOff>754673</xdr:colOff>
      <xdr:row>154</xdr:row>
      <xdr:rowOff>0</xdr:rowOff>
    </xdr:to>
    <xdr:pic>
      <xdr:nvPicPr>
        <xdr:cNvPr id="3" name="Grafik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2422" y="27051000"/>
          <a:ext cx="6154616" cy="1875692"/>
        </a:xfrm>
        <a:prstGeom prst="rect">
          <a:avLst/>
        </a:prstGeom>
      </xdr:spPr>
    </xdr:pic>
    <xdr:clientData/>
  </xdr:twoCellAnchor>
  <xdr:twoCellAnchor editAs="oneCell">
    <xdr:from>
      <xdr:col>1</xdr:col>
      <xdr:colOff>36636</xdr:colOff>
      <xdr:row>158</xdr:row>
      <xdr:rowOff>63509</xdr:rowOff>
    </xdr:from>
    <xdr:to>
      <xdr:col>8</xdr:col>
      <xdr:colOff>644771</xdr:colOff>
      <xdr:row>167</xdr:row>
      <xdr:rowOff>168518</xdr:rowOff>
    </xdr:to>
    <xdr:pic>
      <xdr:nvPicPr>
        <xdr:cNvPr id="4" name="Grafik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80444" y="29664278"/>
          <a:ext cx="6066692" cy="1819509"/>
        </a:xfrm>
        <a:prstGeom prst="rect">
          <a:avLst/>
        </a:prstGeom>
      </xdr:spPr>
    </xdr:pic>
    <xdr:clientData/>
  </xdr:twoCellAnchor>
  <xdr:twoCellAnchor editAs="oneCell">
    <xdr:from>
      <xdr:col>1</xdr:col>
      <xdr:colOff>87922</xdr:colOff>
      <xdr:row>239</xdr:row>
      <xdr:rowOff>43961</xdr:rowOff>
    </xdr:from>
    <xdr:to>
      <xdr:col>8</xdr:col>
      <xdr:colOff>608137</xdr:colOff>
      <xdr:row>251</xdr:row>
      <xdr:rowOff>58616</xdr:rowOff>
    </xdr:to>
    <xdr:pic>
      <xdr:nvPicPr>
        <xdr:cNvPr id="6" name="Grafik 5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1730" y="22017403"/>
          <a:ext cx="5978772" cy="2300655"/>
        </a:xfrm>
        <a:prstGeom prst="rect">
          <a:avLst/>
        </a:prstGeom>
      </xdr:spPr>
    </xdr:pic>
    <xdr:clientData/>
  </xdr:twoCellAnchor>
  <xdr:twoCellAnchor editAs="oneCell">
    <xdr:from>
      <xdr:col>1</xdr:col>
      <xdr:colOff>51289</xdr:colOff>
      <xdr:row>174</xdr:row>
      <xdr:rowOff>14653</xdr:rowOff>
    </xdr:from>
    <xdr:to>
      <xdr:col>8</xdr:col>
      <xdr:colOff>514607</xdr:colOff>
      <xdr:row>189</xdr:row>
      <xdr:rowOff>171356</xdr:rowOff>
    </xdr:to>
    <xdr:pic>
      <xdr:nvPicPr>
        <xdr:cNvPr id="7" name="Grafik 6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5097" y="13950461"/>
          <a:ext cx="5921875" cy="3014203"/>
        </a:xfrm>
        <a:prstGeom prst="rect">
          <a:avLst/>
        </a:prstGeom>
      </xdr:spPr>
    </xdr:pic>
    <xdr:clientData/>
  </xdr:twoCellAnchor>
  <xdr:twoCellAnchor editAs="oneCell">
    <xdr:from>
      <xdr:col>1</xdr:col>
      <xdr:colOff>36635</xdr:colOff>
      <xdr:row>199</xdr:row>
      <xdr:rowOff>21982</xdr:rowOff>
    </xdr:from>
    <xdr:to>
      <xdr:col>8</xdr:col>
      <xdr:colOff>628942</xdr:colOff>
      <xdr:row>211</xdr:row>
      <xdr:rowOff>80596</xdr:rowOff>
    </xdr:to>
    <xdr:pic>
      <xdr:nvPicPr>
        <xdr:cNvPr id="8" name="Grafik 7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80443" y="18537117"/>
          <a:ext cx="6050864" cy="2344614"/>
        </a:xfrm>
        <a:prstGeom prst="rect">
          <a:avLst/>
        </a:prstGeom>
      </xdr:spPr>
    </xdr:pic>
    <xdr:clientData/>
  </xdr:twoCellAnchor>
  <xdr:twoCellAnchor editAs="oneCell">
    <xdr:from>
      <xdr:col>1</xdr:col>
      <xdr:colOff>36634</xdr:colOff>
      <xdr:row>215</xdr:row>
      <xdr:rowOff>47141</xdr:rowOff>
    </xdr:from>
    <xdr:to>
      <xdr:col>8</xdr:col>
      <xdr:colOff>622788</xdr:colOff>
      <xdr:row>223</xdr:row>
      <xdr:rowOff>17589</xdr:rowOff>
    </xdr:to>
    <xdr:pic>
      <xdr:nvPicPr>
        <xdr:cNvPr id="9" name="Grafik 8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80442" y="21427103"/>
          <a:ext cx="6044711" cy="1494448"/>
        </a:xfrm>
        <a:prstGeom prst="rect">
          <a:avLst/>
        </a:prstGeom>
      </xdr:spPr>
    </xdr:pic>
    <xdr:clientData/>
  </xdr:twoCellAnchor>
  <xdr:twoCellAnchor editAs="oneCell">
    <xdr:from>
      <xdr:col>1</xdr:col>
      <xdr:colOff>80596</xdr:colOff>
      <xdr:row>256</xdr:row>
      <xdr:rowOff>50520</xdr:rowOff>
    </xdr:from>
    <xdr:to>
      <xdr:col>8</xdr:col>
      <xdr:colOff>608134</xdr:colOff>
      <xdr:row>276</xdr:row>
      <xdr:rowOff>95135</xdr:rowOff>
    </xdr:to>
    <xdr:pic>
      <xdr:nvPicPr>
        <xdr:cNvPr id="10" name="Grafik 9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4404" y="28317789"/>
          <a:ext cx="5986095" cy="3854615"/>
        </a:xfrm>
        <a:prstGeom prst="rect">
          <a:avLst/>
        </a:prstGeom>
      </xdr:spPr>
    </xdr:pic>
    <xdr:clientData/>
  </xdr:twoCellAnchor>
  <xdr:twoCellAnchor editAs="oneCell">
    <xdr:from>
      <xdr:col>4</xdr:col>
      <xdr:colOff>6094</xdr:colOff>
      <xdr:row>21</xdr:row>
      <xdr:rowOff>36636</xdr:rowOff>
    </xdr:from>
    <xdr:to>
      <xdr:col>8</xdr:col>
      <xdr:colOff>732691</xdr:colOff>
      <xdr:row>47</xdr:row>
      <xdr:rowOff>1</xdr:rowOff>
    </xdr:to>
    <xdr:pic>
      <xdr:nvPicPr>
        <xdr:cNvPr id="5" name="Grafik 4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35902" y="3260482"/>
          <a:ext cx="3774597" cy="4923692"/>
        </a:xfrm>
        <a:prstGeom prst="rect">
          <a:avLst/>
        </a:prstGeom>
      </xdr:spPr>
    </xdr:pic>
    <xdr:clientData/>
  </xdr:twoCellAnchor>
  <xdr:twoCellAnchor editAs="oneCell">
    <xdr:from>
      <xdr:col>4</xdr:col>
      <xdr:colOff>14655</xdr:colOff>
      <xdr:row>46</xdr:row>
      <xdr:rowOff>73270</xdr:rowOff>
    </xdr:from>
    <xdr:to>
      <xdr:col>8</xdr:col>
      <xdr:colOff>753587</xdr:colOff>
      <xdr:row>73</xdr:row>
      <xdr:rowOff>824</xdr:rowOff>
    </xdr:to>
    <xdr:pic>
      <xdr:nvPicPr>
        <xdr:cNvPr id="11" name="Grafik 10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44463" y="8066943"/>
          <a:ext cx="3786932" cy="5071054"/>
        </a:xfrm>
        <a:prstGeom prst="rect">
          <a:avLst/>
        </a:prstGeom>
      </xdr:spPr>
    </xdr:pic>
    <xdr:clientData/>
  </xdr:twoCellAnchor>
  <xdr:twoCellAnchor editAs="oneCell">
    <xdr:from>
      <xdr:col>4</xdr:col>
      <xdr:colOff>43962</xdr:colOff>
      <xdr:row>72</xdr:row>
      <xdr:rowOff>100585</xdr:rowOff>
    </xdr:from>
    <xdr:to>
      <xdr:col>8</xdr:col>
      <xdr:colOff>761999</xdr:colOff>
      <xdr:row>95</xdr:row>
      <xdr:rowOff>26394</xdr:rowOff>
    </xdr:to>
    <xdr:pic>
      <xdr:nvPicPr>
        <xdr:cNvPr id="12" name="Grafik 1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73770" y="13047258"/>
          <a:ext cx="3766037" cy="4307309"/>
        </a:xfrm>
        <a:prstGeom prst="rect">
          <a:avLst/>
        </a:prstGeom>
      </xdr:spPr>
    </xdr:pic>
    <xdr:clientData/>
  </xdr:twoCellAnchor>
  <xdr:twoCellAnchor>
    <xdr:from>
      <xdr:col>0</xdr:col>
      <xdr:colOff>1201615</xdr:colOff>
      <xdr:row>162</xdr:row>
      <xdr:rowOff>95250</xdr:rowOff>
    </xdr:from>
    <xdr:to>
      <xdr:col>1</xdr:col>
      <xdr:colOff>534865</xdr:colOff>
      <xdr:row>162</xdr:row>
      <xdr:rowOff>95250</xdr:rowOff>
    </xdr:to>
    <xdr:cxnSp macro="">
      <xdr:nvCxnSpPr>
        <xdr:cNvPr id="15" name="Gerade Verbindung mit Pfeil 14"/>
        <xdr:cNvCxnSpPr/>
      </xdr:nvCxnSpPr>
      <xdr:spPr>
        <a:xfrm>
          <a:off x="1201615" y="30223558"/>
          <a:ext cx="1077058" cy="0"/>
        </a:xfrm>
        <a:prstGeom prst="straightConnector1">
          <a:avLst/>
        </a:prstGeom>
        <a:ln w="158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1223595</xdr:colOff>
      <xdr:row>176</xdr:row>
      <xdr:rowOff>161192</xdr:rowOff>
    </xdr:from>
    <xdr:to>
      <xdr:col>1</xdr:col>
      <xdr:colOff>556845</xdr:colOff>
      <xdr:row>176</xdr:row>
      <xdr:rowOff>161192</xdr:rowOff>
    </xdr:to>
    <xdr:cxnSp macro="">
      <xdr:nvCxnSpPr>
        <xdr:cNvPr id="17" name="Gerade Verbindung mit Pfeil 16"/>
        <xdr:cNvCxnSpPr/>
      </xdr:nvCxnSpPr>
      <xdr:spPr>
        <a:xfrm>
          <a:off x="1223595" y="32963827"/>
          <a:ext cx="1077058" cy="0"/>
        </a:xfrm>
        <a:prstGeom prst="straightConnector1">
          <a:avLst/>
        </a:prstGeom>
        <a:ln w="158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117231</xdr:colOff>
      <xdr:row>283</xdr:row>
      <xdr:rowOff>51289</xdr:rowOff>
    </xdr:from>
    <xdr:to>
      <xdr:col>3</xdr:col>
      <xdr:colOff>315058</xdr:colOff>
      <xdr:row>286</xdr:row>
      <xdr:rowOff>90898</xdr:rowOff>
    </xdr:to>
    <xdr:pic>
      <xdr:nvPicPr>
        <xdr:cNvPr id="13" name="Grafik 12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7596" y="54658847"/>
          <a:ext cx="959827" cy="61110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302518" cy="6013960"/>
    <xdr:graphicFrame macro="">
      <xdr:nvGraphicFramePr>
        <xdr:cNvPr id="2" name="Diagramm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file:///K:\Werner%20Luck\Finanzen\2_Haushalt\lfl_anleitung_hbf.pdf" TargetMode="External"/><Relationship Id="rId1" Type="http://schemas.openxmlformats.org/officeDocument/2006/relationships/hyperlink" Target="https://www.lfl.bayern.de/iba/haushalt/085725/index.php" TargetMode="Externa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I29"/>
  <sheetViews>
    <sheetView zoomScale="130" zoomScaleNormal="130" workbookViewId="0">
      <selection activeCell="L8" sqref="L8"/>
    </sheetView>
  </sheetViews>
  <sheetFormatPr baseColWidth="10" defaultRowHeight="15" x14ac:dyDescent="0.25"/>
  <cols>
    <col min="1" max="1" width="13.28515625" customWidth="1"/>
  </cols>
  <sheetData>
    <row r="1" spans="1:9" ht="25.5" x14ac:dyDescent="0.35">
      <c r="A1" s="55" t="s">
        <v>169</v>
      </c>
      <c r="B1" s="56"/>
      <c r="C1" s="56"/>
      <c r="D1" s="56"/>
      <c r="E1" s="56"/>
      <c r="F1" s="56"/>
      <c r="G1" s="56"/>
      <c r="H1" s="56"/>
      <c r="I1" s="57"/>
    </row>
    <row r="2" spans="1:9" x14ac:dyDescent="0.25">
      <c r="A2" s="58" t="s">
        <v>165</v>
      </c>
      <c r="B2" s="59"/>
      <c r="C2" s="59"/>
      <c r="D2" s="59"/>
      <c r="E2" s="59"/>
      <c r="F2" s="59"/>
      <c r="G2" s="59"/>
      <c r="H2" s="59"/>
      <c r="I2" s="60"/>
    </row>
    <row r="3" spans="1:9" x14ac:dyDescent="0.25">
      <c r="A3" s="58" t="s">
        <v>154</v>
      </c>
      <c r="B3" s="59"/>
      <c r="C3" s="59"/>
      <c r="D3" s="59"/>
      <c r="E3" s="59"/>
      <c r="F3" s="59"/>
      <c r="G3" s="59"/>
      <c r="H3" s="59"/>
      <c r="I3" s="60"/>
    </row>
    <row r="4" spans="1:9" x14ac:dyDescent="0.25">
      <c r="A4" s="61"/>
      <c r="B4" s="59"/>
      <c r="C4" s="59"/>
      <c r="D4" s="59"/>
      <c r="E4" s="59"/>
      <c r="F4" s="59"/>
      <c r="G4" s="59"/>
      <c r="H4" s="59"/>
      <c r="I4" s="60"/>
    </row>
    <row r="5" spans="1:9" ht="18" x14ac:dyDescent="0.25">
      <c r="A5" s="158" t="s">
        <v>155</v>
      </c>
      <c r="B5" s="159"/>
      <c r="C5" s="159"/>
      <c r="D5" s="159"/>
      <c r="E5" s="159"/>
      <c r="F5" s="159"/>
      <c r="G5" s="159"/>
      <c r="H5" s="159"/>
      <c r="I5" s="160"/>
    </row>
    <row r="6" spans="1:9" ht="25.5" x14ac:dyDescent="0.35">
      <c r="A6" s="161" t="s">
        <v>156</v>
      </c>
      <c r="B6" s="162"/>
      <c r="C6" s="162"/>
      <c r="D6" s="162"/>
      <c r="E6" s="162"/>
      <c r="F6" s="162"/>
      <c r="G6" s="162"/>
      <c r="H6" s="162"/>
      <c r="I6" s="163"/>
    </row>
    <row r="7" spans="1:9" x14ac:dyDescent="0.25">
      <c r="A7" s="59"/>
      <c r="B7" s="59"/>
      <c r="C7" s="59"/>
      <c r="D7" s="59"/>
      <c r="E7" s="59"/>
      <c r="F7" s="59"/>
      <c r="G7" s="59"/>
      <c r="H7" s="59"/>
      <c r="I7" s="60"/>
    </row>
    <row r="8" spans="1:9" x14ac:dyDescent="0.25">
      <c r="A8" s="58" t="s">
        <v>157</v>
      </c>
      <c r="B8" s="59"/>
      <c r="C8" s="59"/>
      <c r="D8" s="59"/>
      <c r="E8" s="59"/>
      <c r="F8" s="59"/>
      <c r="G8" s="59"/>
      <c r="H8" s="59"/>
      <c r="I8" s="60"/>
    </row>
    <row r="9" spans="1:9" x14ac:dyDescent="0.25">
      <c r="A9" s="61" t="s">
        <v>158</v>
      </c>
      <c r="B9" s="59"/>
      <c r="C9" s="59"/>
      <c r="D9" s="59" t="s">
        <v>159</v>
      </c>
      <c r="E9" s="59"/>
      <c r="F9" s="59"/>
      <c r="G9" s="59"/>
      <c r="H9" s="59"/>
      <c r="I9" s="60"/>
    </row>
    <row r="10" spans="1:9" x14ac:dyDescent="0.25">
      <c r="A10" s="61" t="s">
        <v>160</v>
      </c>
      <c r="B10" s="59"/>
      <c r="C10" s="59"/>
      <c r="D10" s="59" t="s">
        <v>161</v>
      </c>
      <c r="E10" s="59"/>
      <c r="F10" s="59"/>
      <c r="G10" s="59"/>
      <c r="H10" s="59"/>
      <c r="I10" s="60"/>
    </row>
    <row r="11" spans="1:9" x14ac:dyDescent="0.25">
      <c r="A11" s="61" t="s">
        <v>134</v>
      </c>
      <c r="B11" s="59"/>
      <c r="C11" s="59"/>
      <c r="D11" s="62" t="s">
        <v>166</v>
      </c>
      <c r="E11" s="59"/>
      <c r="F11" s="59"/>
      <c r="G11" s="59"/>
      <c r="H11" s="59"/>
      <c r="I11" s="60"/>
    </row>
    <row r="12" spans="1:9" x14ac:dyDescent="0.25">
      <c r="A12" s="63" t="s">
        <v>138</v>
      </c>
      <c r="B12" s="59"/>
      <c r="C12" s="59"/>
      <c r="D12" s="59" t="s">
        <v>179</v>
      </c>
      <c r="E12" s="59"/>
      <c r="F12" s="59"/>
      <c r="G12" s="59"/>
      <c r="H12" s="59"/>
      <c r="I12" s="60"/>
    </row>
    <row r="13" spans="1:9" x14ac:dyDescent="0.25">
      <c r="A13" s="61" t="s">
        <v>167</v>
      </c>
      <c r="B13" s="59"/>
      <c r="C13" s="59"/>
      <c r="D13" s="59" t="s">
        <v>170</v>
      </c>
      <c r="E13" s="59"/>
      <c r="F13" s="59"/>
      <c r="G13" s="59"/>
      <c r="H13" s="59"/>
      <c r="I13" s="60"/>
    </row>
    <row r="14" spans="1:9" x14ac:dyDescent="0.25">
      <c r="A14" s="63" t="s">
        <v>125</v>
      </c>
      <c r="B14" s="59"/>
      <c r="C14" s="59"/>
      <c r="D14" s="59" t="s">
        <v>171</v>
      </c>
      <c r="E14" s="59"/>
      <c r="F14" s="59"/>
      <c r="G14" s="59"/>
      <c r="H14" s="59"/>
      <c r="I14" s="60"/>
    </row>
    <row r="15" spans="1:9" x14ac:dyDescent="0.25">
      <c r="A15" s="61" t="s">
        <v>6</v>
      </c>
      <c r="B15" s="59"/>
      <c r="C15" s="59"/>
      <c r="D15" s="59" t="s">
        <v>172</v>
      </c>
      <c r="E15" s="59"/>
      <c r="F15" s="59"/>
      <c r="G15" s="59"/>
      <c r="H15" s="59"/>
      <c r="I15" s="60"/>
    </row>
    <row r="16" spans="1:9" x14ac:dyDescent="0.25">
      <c r="A16" s="61" t="s">
        <v>123</v>
      </c>
      <c r="B16" s="59"/>
      <c r="C16" s="59"/>
      <c r="D16" s="59" t="s">
        <v>173</v>
      </c>
      <c r="E16" s="59"/>
      <c r="F16" s="59"/>
      <c r="G16" s="59"/>
      <c r="H16" s="59"/>
      <c r="I16" s="60"/>
    </row>
    <row r="17" spans="1:9" x14ac:dyDescent="0.25">
      <c r="A17" s="61" t="s">
        <v>35</v>
      </c>
      <c r="B17" s="59"/>
      <c r="C17" s="59"/>
      <c r="D17" s="59" t="s">
        <v>174</v>
      </c>
      <c r="E17" s="59"/>
      <c r="F17" s="59"/>
      <c r="G17" s="59"/>
      <c r="H17" s="59"/>
      <c r="I17" s="60"/>
    </row>
    <row r="18" spans="1:9" x14ac:dyDescent="0.25">
      <c r="A18" s="61" t="s">
        <v>81</v>
      </c>
      <c r="B18" s="59"/>
      <c r="C18" s="59"/>
      <c r="D18" s="59" t="s">
        <v>175</v>
      </c>
      <c r="E18" s="59"/>
      <c r="F18" s="59"/>
      <c r="G18" s="59"/>
      <c r="H18" s="59"/>
      <c r="I18" s="60"/>
    </row>
    <row r="19" spans="1:9" x14ac:dyDescent="0.25">
      <c r="A19" s="61" t="s">
        <v>168</v>
      </c>
      <c r="B19" s="59"/>
      <c r="C19" s="59"/>
      <c r="D19" s="59" t="s">
        <v>176</v>
      </c>
      <c r="E19" s="59"/>
      <c r="F19" s="59"/>
      <c r="G19" s="59"/>
      <c r="H19" s="59"/>
      <c r="I19" s="60"/>
    </row>
    <row r="20" spans="1:9" x14ac:dyDescent="0.25">
      <c r="A20" s="61" t="s">
        <v>177</v>
      </c>
      <c r="B20" s="59"/>
      <c r="C20" s="59"/>
      <c r="D20" s="59" t="s">
        <v>178</v>
      </c>
      <c r="E20" s="59"/>
      <c r="F20" s="59"/>
      <c r="G20" s="59"/>
      <c r="H20" s="59"/>
      <c r="I20" s="60"/>
    </row>
    <row r="21" spans="1:9" x14ac:dyDescent="0.25">
      <c r="A21" s="61"/>
      <c r="B21" s="59"/>
      <c r="C21" s="59"/>
      <c r="D21" s="59"/>
      <c r="E21" s="59"/>
      <c r="F21" s="59"/>
      <c r="G21" s="59"/>
      <c r="H21" s="59"/>
      <c r="I21" s="60"/>
    </row>
    <row r="22" spans="1:9" x14ac:dyDescent="0.25">
      <c r="A22" s="61"/>
      <c r="B22" s="59"/>
      <c r="C22" s="59"/>
      <c r="D22" s="59"/>
      <c r="E22" s="59"/>
      <c r="F22" s="59"/>
      <c r="G22" s="59"/>
      <c r="H22" s="59"/>
      <c r="I22" s="60"/>
    </row>
    <row r="23" spans="1:9" x14ac:dyDescent="0.25">
      <c r="A23" s="155" t="s">
        <v>257</v>
      </c>
      <c r="B23" s="156"/>
      <c r="C23" s="156"/>
      <c r="D23" s="156"/>
      <c r="E23" s="156"/>
      <c r="F23" s="156"/>
      <c r="G23" s="156"/>
      <c r="H23" s="156"/>
      <c r="I23" s="157"/>
    </row>
    <row r="24" spans="1:9" x14ac:dyDescent="0.25">
      <c r="A24" s="155" t="s">
        <v>162</v>
      </c>
      <c r="B24" s="156"/>
      <c r="C24" s="156"/>
      <c r="D24" s="156"/>
      <c r="E24" s="156"/>
      <c r="F24" s="156"/>
      <c r="G24" s="156"/>
      <c r="H24" s="156"/>
      <c r="I24" s="157"/>
    </row>
    <row r="25" spans="1:9" x14ac:dyDescent="0.25">
      <c r="A25" s="155" t="s">
        <v>163</v>
      </c>
      <c r="B25" s="156"/>
      <c r="C25" s="156"/>
      <c r="D25" s="156"/>
      <c r="E25" s="156"/>
      <c r="F25" s="156"/>
      <c r="G25" s="156"/>
      <c r="H25" s="156"/>
      <c r="I25" s="157"/>
    </row>
    <row r="26" spans="1:9" x14ac:dyDescent="0.25">
      <c r="A26" s="155" t="s">
        <v>164</v>
      </c>
      <c r="B26" s="156"/>
      <c r="C26" s="156"/>
      <c r="D26" s="156"/>
      <c r="E26" s="156"/>
      <c r="F26" s="156"/>
      <c r="G26" s="156"/>
      <c r="H26" s="156"/>
      <c r="I26" s="157"/>
    </row>
    <row r="27" spans="1:9" x14ac:dyDescent="0.25">
      <c r="A27" s="155" t="s">
        <v>380</v>
      </c>
      <c r="B27" s="156"/>
      <c r="C27" s="156"/>
      <c r="D27" s="156"/>
      <c r="E27" s="156"/>
      <c r="F27" s="156"/>
      <c r="G27" s="156"/>
      <c r="H27" s="156"/>
      <c r="I27" s="157"/>
    </row>
    <row r="28" spans="1:9" x14ac:dyDescent="0.25">
      <c r="A28" s="155" t="s">
        <v>381</v>
      </c>
      <c r="B28" s="156"/>
      <c r="C28" s="156"/>
      <c r="D28" s="156"/>
      <c r="E28" s="156"/>
      <c r="F28" s="156"/>
      <c r="G28" s="156"/>
      <c r="H28" s="156"/>
      <c r="I28" s="157"/>
    </row>
    <row r="29" spans="1:9" x14ac:dyDescent="0.25">
      <c r="A29" s="64"/>
      <c r="B29" s="65"/>
      <c r="C29" s="65"/>
      <c r="D29" s="65"/>
      <c r="E29" s="65"/>
      <c r="F29" s="65"/>
      <c r="G29" s="65"/>
      <c r="H29" s="65"/>
      <c r="I29" s="66"/>
    </row>
  </sheetData>
  <mergeCells count="8">
    <mergeCell ref="A27:I27"/>
    <mergeCell ref="A28:I28"/>
    <mergeCell ref="A5:I5"/>
    <mergeCell ref="A6:I6"/>
    <mergeCell ref="A23:I23"/>
    <mergeCell ref="A24:I24"/>
    <mergeCell ref="A25:I25"/>
    <mergeCell ref="A26:I26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"/>
  <dimension ref="A1:K284"/>
  <sheetViews>
    <sheetView zoomScale="130" zoomScaleNormal="130" workbookViewId="0">
      <pane ySplit="1" topLeftCell="A2" activePane="bottomLeft" state="frozen"/>
      <selection pane="bottomLeft" activeCell="B19" sqref="B19"/>
    </sheetView>
  </sheetViews>
  <sheetFormatPr baseColWidth="10" defaultRowHeight="15" x14ac:dyDescent="0.25"/>
  <cols>
    <col min="1" max="1" width="26.140625" customWidth="1"/>
    <col min="2" max="2" width="13.28515625" customWidth="1"/>
    <col min="9" max="9" width="11.7109375" customWidth="1"/>
  </cols>
  <sheetData>
    <row r="1" spans="1:9" ht="28.5" x14ac:dyDescent="0.45">
      <c r="A1" s="78" t="s">
        <v>220</v>
      </c>
      <c r="B1" s="79"/>
      <c r="C1" s="79"/>
      <c r="D1" s="79"/>
      <c r="E1" s="79"/>
      <c r="F1" s="79"/>
      <c r="G1" s="79"/>
      <c r="H1" s="79"/>
      <c r="I1" s="79"/>
    </row>
    <row r="2" spans="1:9" ht="15.75" x14ac:dyDescent="0.25">
      <c r="A2" s="10" t="s">
        <v>189</v>
      </c>
      <c r="B2" t="s">
        <v>193</v>
      </c>
    </row>
    <row r="3" spans="1:9" x14ac:dyDescent="0.25">
      <c r="B3" t="s">
        <v>314</v>
      </c>
    </row>
    <row r="4" spans="1:9" x14ac:dyDescent="0.25">
      <c r="B4" t="s">
        <v>315</v>
      </c>
    </row>
    <row r="5" spans="1:9" x14ac:dyDescent="0.25">
      <c r="B5" t="s">
        <v>316</v>
      </c>
    </row>
    <row r="6" spans="1:9" x14ac:dyDescent="0.25">
      <c r="B6" t="s">
        <v>317</v>
      </c>
    </row>
    <row r="7" spans="1:9" x14ac:dyDescent="0.25">
      <c r="B7" t="s">
        <v>270</v>
      </c>
    </row>
    <row r="8" spans="1:9" x14ac:dyDescent="0.25">
      <c r="B8" t="s">
        <v>271</v>
      </c>
    </row>
    <row r="9" spans="1:9" x14ac:dyDescent="0.25">
      <c r="B9" t="s">
        <v>318</v>
      </c>
    </row>
    <row r="10" spans="1:9" x14ac:dyDescent="0.25">
      <c r="B10" t="s">
        <v>319</v>
      </c>
    </row>
    <row r="11" spans="1:9" ht="7.5" customHeight="1" x14ac:dyDescent="0.25"/>
    <row r="12" spans="1:9" x14ac:dyDescent="0.25">
      <c r="A12" s="77" t="s">
        <v>190</v>
      </c>
      <c r="B12" t="s">
        <v>349</v>
      </c>
    </row>
    <row r="13" spans="1:9" ht="7.5" customHeight="1" x14ac:dyDescent="0.25">
      <c r="A13" s="77"/>
    </row>
    <row r="14" spans="1:9" ht="15.75" x14ac:dyDescent="0.25">
      <c r="A14" s="10" t="s">
        <v>320</v>
      </c>
    </row>
    <row r="15" spans="1:9" x14ac:dyDescent="0.25">
      <c r="A15" s="125" t="s">
        <v>321</v>
      </c>
      <c r="B15" s="5" t="s">
        <v>6</v>
      </c>
      <c r="C15" t="s">
        <v>325</v>
      </c>
    </row>
    <row r="16" spans="1:9" x14ac:dyDescent="0.25">
      <c r="A16" s="77"/>
      <c r="B16" s="5" t="s">
        <v>123</v>
      </c>
      <c r="C16" t="s">
        <v>322</v>
      </c>
    </row>
    <row r="17" spans="1:3" x14ac:dyDescent="0.25">
      <c r="A17" s="77"/>
      <c r="C17" t="s">
        <v>323</v>
      </c>
    </row>
    <row r="18" spans="1:3" x14ac:dyDescent="0.25">
      <c r="A18" s="77"/>
      <c r="C18" t="s">
        <v>335</v>
      </c>
    </row>
    <row r="19" spans="1:3" x14ac:dyDescent="0.25">
      <c r="A19" s="77"/>
      <c r="C19" t="s">
        <v>324</v>
      </c>
    </row>
    <row r="20" spans="1:3" x14ac:dyDescent="0.25">
      <c r="A20" s="77"/>
      <c r="C20" t="s">
        <v>326</v>
      </c>
    </row>
    <row r="21" spans="1:3" ht="7.5" customHeight="1" x14ac:dyDescent="0.25">
      <c r="A21" s="77"/>
    </row>
    <row r="22" spans="1:3" ht="15.75" x14ac:dyDescent="0.25">
      <c r="A22" s="10" t="s">
        <v>274</v>
      </c>
    </row>
    <row r="23" spans="1:3" x14ac:dyDescent="0.25">
      <c r="A23" s="77"/>
      <c r="B23" t="s">
        <v>275</v>
      </c>
    </row>
    <row r="24" spans="1:3" x14ac:dyDescent="0.25">
      <c r="A24" s="77"/>
      <c r="B24" s="19" t="s">
        <v>276</v>
      </c>
    </row>
    <row r="25" spans="1:3" x14ac:dyDescent="0.25">
      <c r="A25" s="77"/>
      <c r="B25" s="19" t="s">
        <v>277</v>
      </c>
    </row>
    <row r="26" spans="1:3" x14ac:dyDescent="0.25">
      <c r="A26" s="77"/>
      <c r="B26" s="19" t="s">
        <v>278</v>
      </c>
    </row>
    <row r="27" spans="1:3" x14ac:dyDescent="0.25">
      <c r="A27" s="77"/>
    </row>
    <row r="28" spans="1:3" x14ac:dyDescent="0.25">
      <c r="A28" s="77"/>
    </row>
    <row r="29" spans="1:3" x14ac:dyDescent="0.25">
      <c r="A29" s="77"/>
      <c r="B29" t="s">
        <v>279</v>
      </c>
    </row>
    <row r="30" spans="1:3" x14ac:dyDescent="0.25">
      <c r="A30" s="77"/>
      <c r="B30" s="19" t="s">
        <v>280</v>
      </c>
    </row>
    <row r="31" spans="1:3" x14ac:dyDescent="0.25">
      <c r="A31" s="77"/>
      <c r="B31" s="19" t="s">
        <v>281</v>
      </c>
    </row>
    <row r="32" spans="1:3" x14ac:dyDescent="0.25">
      <c r="A32" s="77"/>
      <c r="B32" s="19" t="s">
        <v>282</v>
      </c>
    </row>
    <row r="33" spans="1:2" x14ac:dyDescent="0.25">
      <c r="A33" s="77"/>
      <c r="B33" s="19"/>
    </row>
    <row r="34" spans="1:2" x14ac:dyDescent="0.25">
      <c r="A34" s="77"/>
      <c r="B34" s="19"/>
    </row>
    <row r="35" spans="1:2" x14ac:dyDescent="0.25">
      <c r="A35" s="77"/>
      <c r="B35" s="19"/>
    </row>
    <row r="36" spans="1:2" x14ac:dyDescent="0.25">
      <c r="A36" s="77"/>
      <c r="B36" s="19"/>
    </row>
    <row r="37" spans="1:2" x14ac:dyDescent="0.25">
      <c r="A37" s="77"/>
      <c r="B37" s="19"/>
    </row>
    <row r="38" spans="1:2" x14ac:dyDescent="0.25">
      <c r="A38" s="77"/>
      <c r="B38" s="19"/>
    </row>
    <row r="39" spans="1:2" x14ac:dyDescent="0.25">
      <c r="A39" s="77"/>
      <c r="B39" s="19"/>
    </row>
    <row r="40" spans="1:2" x14ac:dyDescent="0.25">
      <c r="A40" s="77"/>
      <c r="B40" s="19"/>
    </row>
    <row r="41" spans="1:2" x14ac:dyDescent="0.25">
      <c r="A41" s="77"/>
      <c r="B41" s="19"/>
    </row>
    <row r="42" spans="1:2" x14ac:dyDescent="0.25">
      <c r="A42" s="77"/>
      <c r="B42" s="19"/>
    </row>
    <row r="43" spans="1:2" x14ac:dyDescent="0.25">
      <c r="A43" s="77"/>
    </row>
    <row r="44" spans="1:2" x14ac:dyDescent="0.25">
      <c r="A44" s="77"/>
    </row>
    <row r="45" spans="1:2" x14ac:dyDescent="0.25">
      <c r="A45" s="77"/>
    </row>
    <row r="46" spans="1:2" x14ac:dyDescent="0.25">
      <c r="A46" s="77"/>
    </row>
    <row r="49" spans="2:2" x14ac:dyDescent="0.25">
      <c r="B49" t="s">
        <v>283</v>
      </c>
    </row>
    <row r="50" spans="2:2" x14ac:dyDescent="0.25">
      <c r="B50" s="19" t="s">
        <v>284</v>
      </c>
    </row>
    <row r="51" spans="2:2" x14ac:dyDescent="0.25">
      <c r="B51" s="19"/>
    </row>
    <row r="73" spans="2:2" x14ac:dyDescent="0.25">
      <c r="B73" t="s">
        <v>285</v>
      </c>
    </row>
    <row r="74" spans="2:2" x14ac:dyDescent="0.25">
      <c r="B74" s="19" t="s">
        <v>286</v>
      </c>
    </row>
    <row r="75" spans="2:2" x14ac:dyDescent="0.25">
      <c r="B75" s="19" t="s">
        <v>288</v>
      </c>
    </row>
    <row r="76" spans="2:2" x14ac:dyDescent="0.25">
      <c r="B76" s="19" t="s">
        <v>287</v>
      </c>
    </row>
    <row r="97" spans="1:11" ht="15.75" x14ac:dyDescent="0.25">
      <c r="A97" s="10" t="s">
        <v>191</v>
      </c>
      <c r="B97" t="s">
        <v>192</v>
      </c>
    </row>
    <row r="98" spans="1:11" ht="8.25" customHeight="1" x14ac:dyDescent="0.25"/>
    <row r="99" spans="1:11" ht="15.75" x14ac:dyDescent="0.25">
      <c r="A99" t="s">
        <v>195</v>
      </c>
    </row>
    <row r="100" spans="1:11" x14ac:dyDescent="0.25">
      <c r="B100" t="s">
        <v>194</v>
      </c>
    </row>
    <row r="105" spans="1:11" ht="15.75" x14ac:dyDescent="0.25">
      <c r="A105" s="10" t="s">
        <v>196</v>
      </c>
    </row>
    <row r="106" spans="1:11" x14ac:dyDescent="0.25">
      <c r="B106" t="s">
        <v>289</v>
      </c>
    </row>
    <row r="107" spans="1:11" x14ac:dyDescent="0.25">
      <c r="B107" t="s">
        <v>213</v>
      </c>
    </row>
    <row r="108" spans="1:11" x14ac:dyDescent="0.25">
      <c r="B108" t="s">
        <v>336</v>
      </c>
    </row>
    <row r="109" spans="1:11" x14ac:dyDescent="0.25">
      <c r="B109" t="s">
        <v>197</v>
      </c>
      <c r="K109" s="8"/>
    </row>
    <row r="110" spans="1:11" x14ac:dyDescent="0.25">
      <c r="B110" t="s">
        <v>290</v>
      </c>
      <c r="K110" s="8"/>
    </row>
    <row r="111" spans="1:11" x14ac:dyDescent="0.25">
      <c r="B111" t="s">
        <v>291</v>
      </c>
      <c r="K111" s="8"/>
    </row>
    <row r="112" spans="1:11" x14ac:dyDescent="0.25">
      <c r="B112" s="5" t="s">
        <v>292</v>
      </c>
      <c r="K112" s="8"/>
    </row>
    <row r="113" spans="2:11" x14ac:dyDescent="0.25">
      <c r="C113" s="8" t="s">
        <v>36</v>
      </c>
      <c r="K113" s="8"/>
    </row>
    <row r="114" spans="2:11" x14ac:dyDescent="0.25">
      <c r="C114" t="s">
        <v>200</v>
      </c>
      <c r="K114" s="8"/>
    </row>
    <row r="115" spans="2:11" x14ac:dyDescent="0.25">
      <c r="C115" t="s">
        <v>201</v>
      </c>
      <c r="K115" s="8"/>
    </row>
    <row r="116" spans="2:11" x14ac:dyDescent="0.25">
      <c r="C116" s="8" t="s">
        <v>38</v>
      </c>
      <c r="K116" s="8"/>
    </row>
    <row r="117" spans="2:11" x14ac:dyDescent="0.25">
      <c r="C117" t="s">
        <v>202</v>
      </c>
      <c r="K117" s="8"/>
    </row>
    <row r="118" spans="2:11" x14ac:dyDescent="0.25">
      <c r="C118" s="8" t="s">
        <v>39</v>
      </c>
      <c r="K118" s="8"/>
    </row>
    <row r="119" spans="2:11" x14ac:dyDescent="0.25">
      <c r="C119" t="s">
        <v>204</v>
      </c>
      <c r="K119" s="8"/>
    </row>
    <row r="120" spans="2:11" x14ac:dyDescent="0.25">
      <c r="C120" s="8" t="s">
        <v>40</v>
      </c>
      <c r="K120" s="8"/>
    </row>
    <row r="121" spans="2:11" x14ac:dyDescent="0.25">
      <c r="C121" t="s">
        <v>203</v>
      </c>
      <c r="K121" s="8"/>
    </row>
    <row r="122" spans="2:11" x14ac:dyDescent="0.25">
      <c r="C122" s="8" t="s">
        <v>41</v>
      </c>
      <c r="K122" s="8"/>
    </row>
    <row r="123" spans="2:11" x14ac:dyDescent="0.25">
      <c r="C123" t="s">
        <v>198</v>
      </c>
      <c r="K123" s="8"/>
    </row>
    <row r="124" spans="2:11" x14ac:dyDescent="0.25">
      <c r="C124" t="s">
        <v>199</v>
      </c>
    </row>
    <row r="125" spans="2:11" x14ac:dyDescent="0.25">
      <c r="B125" t="s">
        <v>293</v>
      </c>
    </row>
    <row r="126" spans="2:11" x14ac:dyDescent="0.25">
      <c r="B126" t="s">
        <v>294</v>
      </c>
    </row>
    <row r="127" spans="2:11" ht="8.25" customHeight="1" x14ac:dyDescent="0.25"/>
    <row r="128" spans="2:11" x14ac:dyDescent="0.25">
      <c r="B128" s="5" t="s">
        <v>297</v>
      </c>
    </row>
    <row r="129" spans="1:9" x14ac:dyDescent="0.25">
      <c r="C129" t="s">
        <v>337</v>
      </c>
    </row>
    <row r="130" spans="1:9" x14ac:dyDescent="0.25">
      <c r="C130" t="s">
        <v>206</v>
      </c>
    </row>
    <row r="131" spans="1:9" x14ac:dyDescent="0.25">
      <c r="C131" t="s">
        <v>205</v>
      </c>
    </row>
    <row r="132" spans="1:9" x14ac:dyDescent="0.25">
      <c r="C132" t="s">
        <v>272</v>
      </c>
    </row>
    <row r="133" spans="1:9" x14ac:dyDescent="0.25">
      <c r="C133" s="19" t="s">
        <v>207</v>
      </c>
    </row>
    <row r="134" spans="1:9" x14ac:dyDescent="0.25">
      <c r="B134" t="s">
        <v>296</v>
      </c>
      <c r="C134" s="19"/>
    </row>
    <row r="135" spans="1:9" x14ac:dyDescent="0.25">
      <c r="B135" t="s">
        <v>295</v>
      </c>
      <c r="C135" s="19"/>
    </row>
    <row r="136" spans="1:9" ht="9" customHeight="1" x14ac:dyDescent="0.25"/>
    <row r="137" spans="1:9" x14ac:dyDescent="0.25">
      <c r="B137" s="103" t="s">
        <v>190</v>
      </c>
      <c r="C137" s="104" t="s">
        <v>261</v>
      </c>
      <c r="D137" s="105"/>
      <c r="E137" s="105"/>
      <c r="F137" s="105"/>
      <c r="G137" s="105"/>
      <c r="H137" s="105"/>
      <c r="I137" s="106"/>
    </row>
    <row r="138" spans="1:9" x14ac:dyDescent="0.25">
      <c r="B138" s="107"/>
      <c r="C138" s="108" t="s">
        <v>260</v>
      </c>
      <c r="D138" s="109"/>
      <c r="E138" s="109"/>
      <c r="F138" s="109"/>
      <c r="G138" s="109"/>
      <c r="H138" s="109"/>
      <c r="I138" s="110"/>
    </row>
    <row r="139" spans="1:9" x14ac:dyDescent="0.25">
      <c r="B139" s="107"/>
      <c r="C139" s="111" t="s">
        <v>258</v>
      </c>
      <c r="D139" s="109"/>
      <c r="E139" s="109"/>
      <c r="F139" s="109"/>
      <c r="G139" s="109"/>
      <c r="H139" s="109"/>
      <c r="I139" s="110"/>
    </row>
    <row r="140" spans="1:9" x14ac:dyDescent="0.25">
      <c r="B140" s="107"/>
      <c r="C140" s="111" t="s">
        <v>259</v>
      </c>
      <c r="D140" s="109"/>
      <c r="E140" s="109"/>
      <c r="F140" s="109"/>
      <c r="G140" s="109"/>
      <c r="H140" s="116" t="s">
        <v>298</v>
      </c>
      <c r="I140" s="110"/>
    </row>
    <row r="141" spans="1:9" x14ac:dyDescent="0.25">
      <c r="B141" s="107"/>
      <c r="C141" s="108" t="s">
        <v>268</v>
      </c>
      <c r="D141" s="109"/>
      <c r="E141" s="109"/>
      <c r="F141" s="109"/>
      <c r="G141" s="109"/>
      <c r="H141" s="109"/>
      <c r="I141" s="110"/>
    </row>
    <row r="142" spans="1:9" x14ac:dyDescent="0.25">
      <c r="B142" s="112"/>
      <c r="C142" s="113" t="s">
        <v>269</v>
      </c>
      <c r="D142" s="114"/>
      <c r="E142" s="114"/>
      <c r="F142" s="114"/>
      <c r="G142" s="114"/>
      <c r="H142" s="114"/>
      <c r="I142" s="115"/>
    </row>
    <row r="143" spans="1:9" ht="7.5" customHeight="1" x14ac:dyDescent="0.25">
      <c r="B143" s="77"/>
      <c r="C143" s="102"/>
    </row>
    <row r="144" spans="1:9" ht="15.75" x14ac:dyDescent="0.25">
      <c r="A144" s="10" t="s">
        <v>208</v>
      </c>
      <c r="B144" t="s">
        <v>338</v>
      </c>
    </row>
    <row r="155" spans="1:2" x14ac:dyDescent="0.25">
      <c r="B155" t="s">
        <v>339</v>
      </c>
    </row>
    <row r="156" spans="1:2" x14ac:dyDescent="0.25">
      <c r="B156" t="s">
        <v>209</v>
      </c>
    </row>
    <row r="157" spans="1:2" ht="7.5" customHeight="1" x14ac:dyDescent="0.25"/>
    <row r="158" spans="1:2" ht="15.75" x14ac:dyDescent="0.25">
      <c r="A158" s="10" t="s">
        <v>210</v>
      </c>
      <c r="B158" t="s">
        <v>340</v>
      </c>
    </row>
    <row r="163" spans="1:9" x14ac:dyDescent="0.25">
      <c r="A163" s="3" t="s">
        <v>300</v>
      </c>
    </row>
    <row r="169" spans="1:9" x14ac:dyDescent="0.25">
      <c r="B169" t="s">
        <v>299</v>
      </c>
    </row>
    <row r="170" spans="1:9" x14ac:dyDescent="0.25">
      <c r="B170" t="s">
        <v>301</v>
      </c>
    </row>
    <row r="171" spans="1:9" x14ac:dyDescent="0.25">
      <c r="C171" s="120" t="s">
        <v>302</v>
      </c>
      <c r="D171" s="122" t="s">
        <v>303</v>
      </c>
    </row>
    <row r="172" spans="1:9" x14ac:dyDescent="0.25">
      <c r="C172" s="103" t="s">
        <v>190</v>
      </c>
      <c r="D172" s="117" t="s">
        <v>305</v>
      </c>
      <c r="E172" s="105"/>
      <c r="F172" s="105"/>
      <c r="G172" s="105"/>
      <c r="H172" s="105"/>
      <c r="I172" s="106"/>
    </row>
    <row r="173" spans="1:9" x14ac:dyDescent="0.25">
      <c r="C173" s="118"/>
      <c r="D173" s="119" t="s">
        <v>304</v>
      </c>
      <c r="E173" s="114"/>
      <c r="F173" s="114"/>
      <c r="G173" s="114"/>
      <c r="H173" s="114"/>
      <c r="I173" s="115"/>
    </row>
    <row r="174" spans="1:9" ht="15.75" x14ac:dyDescent="0.25">
      <c r="A174" s="10" t="s">
        <v>211</v>
      </c>
      <c r="B174" t="s">
        <v>212</v>
      </c>
    </row>
    <row r="177" spans="1:7" x14ac:dyDescent="0.25">
      <c r="A177" s="3" t="s">
        <v>300</v>
      </c>
    </row>
    <row r="191" spans="1:7" x14ac:dyDescent="0.25">
      <c r="B191" s="5" t="s">
        <v>237</v>
      </c>
      <c r="D191" t="s">
        <v>236</v>
      </c>
      <c r="E191" s="19" t="s">
        <v>242</v>
      </c>
      <c r="F191" t="s">
        <v>246</v>
      </c>
      <c r="G191" s="19" t="s">
        <v>249</v>
      </c>
    </row>
    <row r="192" spans="1:7" x14ac:dyDescent="0.25">
      <c r="B192" t="s">
        <v>248</v>
      </c>
      <c r="D192" t="s">
        <v>238</v>
      </c>
      <c r="E192" s="19" t="s">
        <v>243</v>
      </c>
      <c r="F192" t="s">
        <v>247</v>
      </c>
      <c r="G192" s="19" t="s">
        <v>250</v>
      </c>
    </row>
    <row r="193" spans="1:7" x14ac:dyDescent="0.25">
      <c r="D193" t="s">
        <v>239</v>
      </c>
      <c r="E193" s="19" t="s">
        <v>116</v>
      </c>
      <c r="F193" t="s">
        <v>251</v>
      </c>
      <c r="G193" s="19" t="s">
        <v>252</v>
      </c>
    </row>
    <row r="194" spans="1:7" x14ac:dyDescent="0.25">
      <c r="D194" t="s">
        <v>240</v>
      </c>
      <c r="E194" s="19" t="s">
        <v>244</v>
      </c>
      <c r="G194" s="19"/>
    </row>
    <row r="195" spans="1:7" x14ac:dyDescent="0.25">
      <c r="D195" t="s">
        <v>241</v>
      </c>
      <c r="E195" s="19" t="s">
        <v>245</v>
      </c>
      <c r="G195" s="19"/>
    </row>
    <row r="196" spans="1:7" x14ac:dyDescent="0.25">
      <c r="B196" t="s">
        <v>341</v>
      </c>
    </row>
    <row r="197" spans="1:7" x14ac:dyDescent="0.25">
      <c r="C197" s="120" t="s">
        <v>302</v>
      </c>
      <c r="D197" s="123" t="s">
        <v>306</v>
      </c>
    </row>
    <row r="198" spans="1:7" ht="9" customHeight="1" x14ac:dyDescent="0.25"/>
    <row r="199" spans="1:7" ht="15.75" x14ac:dyDescent="0.25">
      <c r="A199" s="10" t="s">
        <v>214</v>
      </c>
      <c r="B199" t="s">
        <v>253</v>
      </c>
    </row>
    <row r="213" spans="1:2" x14ac:dyDescent="0.25">
      <c r="B213" t="s">
        <v>307</v>
      </c>
    </row>
    <row r="214" spans="1:2" ht="7.5" customHeight="1" x14ac:dyDescent="0.25"/>
    <row r="215" spans="1:2" ht="15.75" x14ac:dyDescent="0.25">
      <c r="A215" s="10" t="s">
        <v>215</v>
      </c>
      <c r="B215" t="s">
        <v>342</v>
      </c>
    </row>
    <row r="225" spans="1:3" x14ac:dyDescent="0.25">
      <c r="B225" t="s">
        <v>308</v>
      </c>
    </row>
    <row r="226" spans="1:3" ht="8.25" customHeight="1" x14ac:dyDescent="0.25"/>
    <row r="227" spans="1:3" ht="15.75" x14ac:dyDescent="0.25">
      <c r="A227" s="10" t="s">
        <v>216</v>
      </c>
    </row>
    <row r="228" spans="1:3" x14ac:dyDescent="0.25">
      <c r="B228" t="s">
        <v>254</v>
      </c>
    </row>
    <row r="229" spans="1:3" x14ac:dyDescent="0.25">
      <c r="C229" s="120" t="s">
        <v>302</v>
      </c>
    </row>
    <row r="230" spans="1:3" x14ac:dyDescent="0.25">
      <c r="C230" s="124" t="s">
        <v>309</v>
      </c>
    </row>
    <row r="231" spans="1:3" ht="15.75" x14ac:dyDescent="0.25">
      <c r="A231" s="10" t="s">
        <v>217</v>
      </c>
    </row>
    <row r="232" spans="1:3" x14ac:dyDescent="0.25">
      <c r="B232" t="s">
        <v>255</v>
      </c>
    </row>
    <row r="233" spans="1:3" x14ac:dyDescent="0.25">
      <c r="C233" s="120" t="s">
        <v>302</v>
      </c>
    </row>
    <row r="234" spans="1:3" x14ac:dyDescent="0.25">
      <c r="C234" s="124" t="s">
        <v>310</v>
      </c>
    </row>
    <row r="235" spans="1:3" ht="15.75" x14ac:dyDescent="0.25">
      <c r="A235" s="10" t="s">
        <v>218</v>
      </c>
    </row>
    <row r="236" spans="1:3" ht="15.75" x14ac:dyDescent="0.25">
      <c r="A236" s="10"/>
      <c r="B236" t="s">
        <v>327</v>
      </c>
    </row>
    <row r="237" spans="1:3" ht="15.75" x14ac:dyDescent="0.25">
      <c r="A237" s="10"/>
      <c r="B237" t="s">
        <v>328</v>
      </c>
    </row>
    <row r="238" spans="1:3" ht="15.75" x14ac:dyDescent="0.25">
      <c r="A238" s="10"/>
      <c r="B238" t="s">
        <v>311</v>
      </c>
    </row>
    <row r="239" spans="1:3" ht="15.75" x14ac:dyDescent="0.25">
      <c r="A239" s="10"/>
      <c r="B239" t="s">
        <v>312</v>
      </c>
    </row>
    <row r="253" spans="1:3" x14ac:dyDescent="0.25">
      <c r="B253" t="s">
        <v>221</v>
      </c>
    </row>
    <row r="254" spans="1:3" x14ac:dyDescent="0.25">
      <c r="B254" t="s">
        <v>222</v>
      </c>
    </row>
    <row r="255" spans="1:3" ht="8.25" customHeight="1" x14ac:dyDescent="0.25"/>
    <row r="256" spans="1:3" ht="15.75" x14ac:dyDescent="0.25">
      <c r="A256" s="10" t="s">
        <v>219</v>
      </c>
      <c r="C256" t="s">
        <v>256</v>
      </c>
    </row>
    <row r="278" spans="1:6" ht="7.5" customHeight="1" x14ac:dyDescent="0.25"/>
    <row r="279" spans="1:6" ht="15.75" x14ac:dyDescent="0.25">
      <c r="A279" s="10" t="s">
        <v>313</v>
      </c>
      <c r="B279" t="s">
        <v>329</v>
      </c>
    </row>
    <row r="280" spans="1:6" x14ac:dyDescent="0.25">
      <c r="B280" t="s">
        <v>330</v>
      </c>
    </row>
    <row r="281" spans="1:6" x14ac:dyDescent="0.25">
      <c r="B281" t="s">
        <v>332</v>
      </c>
    </row>
    <row r="282" spans="1:6" x14ac:dyDescent="0.25">
      <c r="B282" t="s">
        <v>331</v>
      </c>
    </row>
    <row r="284" spans="1:6" x14ac:dyDescent="0.25">
      <c r="B284" t="s">
        <v>333</v>
      </c>
      <c r="E284" t="s">
        <v>334</v>
      </c>
      <c r="F284" s="1">
        <v>43130</v>
      </c>
    </row>
  </sheetData>
  <hyperlinks>
    <hyperlink ref="C139" r:id="rId1"/>
    <hyperlink ref="C140" r:id="rId2"/>
  </hyperlinks>
  <pageMargins left="0.51181102362204722" right="0.11811023622047245" top="0.59055118110236227" bottom="0.59055118110236227" header="0.31496062992125984" footer="0.31496062992125984"/>
  <pageSetup paperSize="9" scale="79" fitToHeight="5" orientation="portrait" horizontalDpi="0" verticalDpi="0" r:id="rId3"/>
  <headerFooter>
    <oddHeader>&amp;F</oddHeader>
    <oddFooter>&amp;Z&amp;F</oddFooter>
  </headerFooter>
  <rowBreaks count="4" manualBreakCount="4">
    <brk id="65" max="16383" man="1"/>
    <brk id="132" max="16383" man="1"/>
    <brk id="198" max="16383" man="1"/>
    <brk id="255" max="16383" man="1"/>
  </rowBreaks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7">
    <tabColor theme="6" tint="0.59999389629810485"/>
  </sheetPr>
  <dimension ref="A1:I90"/>
  <sheetViews>
    <sheetView zoomScaleNormal="100" workbookViewId="0">
      <pane ySplit="3" topLeftCell="A4" activePane="bottomLeft" state="frozen"/>
      <selection pane="bottomLeft" activeCell="G31" sqref="G31"/>
    </sheetView>
  </sheetViews>
  <sheetFormatPr baseColWidth="10" defaultRowHeight="15" x14ac:dyDescent="0.25"/>
  <cols>
    <col min="1" max="1" width="9.5703125" style="3" bestFit="1" customWidth="1"/>
    <col min="2" max="2" width="25.28515625" customWidth="1"/>
    <col min="3" max="3" width="7.140625" style="3" bestFit="1" customWidth="1"/>
    <col min="4" max="4" width="8.140625" style="3" bestFit="1" customWidth="1"/>
    <col min="5" max="5" width="44" customWidth="1"/>
    <col min="6" max="6" width="11.42578125" customWidth="1"/>
    <col min="7" max="7" width="24.85546875" customWidth="1"/>
    <col min="9" max="9" width="43.42578125" customWidth="1"/>
  </cols>
  <sheetData>
    <row r="1" spans="1:9" ht="33.75" x14ac:dyDescent="0.5">
      <c r="A1" s="21" t="s">
        <v>134</v>
      </c>
      <c r="B1" s="22"/>
      <c r="C1" s="23"/>
      <c r="D1" s="23"/>
      <c r="E1" s="22"/>
      <c r="F1" s="68" t="s">
        <v>182</v>
      </c>
      <c r="G1" s="30"/>
      <c r="H1" s="30"/>
      <c r="I1" s="30"/>
    </row>
    <row r="2" spans="1:9" ht="26.25" x14ac:dyDescent="0.4">
      <c r="A2" s="166" t="s">
        <v>6</v>
      </c>
      <c r="B2" s="166"/>
      <c r="C2" s="167" t="s">
        <v>123</v>
      </c>
      <c r="D2" s="167"/>
      <c r="E2" s="167"/>
      <c r="F2" s="168" t="s">
        <v>181</v>
      </c>
      <c r="G2" s="168"/>
      <c r="H2" s="169" t="s">
        <v>180</v>
      </c>
      <c r="I2" s="169"/>
    </row>
    <row r="3" spans="1:9" ht="45" x14ac:dyDescent="0.25">
      <c r="A3" s="69" t="s">
        <v>120</v>
      </c>
      <c r="B3" s="70" t="s">
        <v>136</v>
      </c>
      <c r="C3" s="69" t="s">
        <v>121</v>
      </c>
      <c r="D3" s="69" t="s">
        <v>122</v>
      </c>
      <c r="E3" s="71" t="s">
        <v>123</v>
      </c>
      <c r="F3" s="165" t="s">
        <v>183</v>
      </c>
      <c r="G3" s="165"/>
      <c r="H3" s="165"/>
      <c r="I3" s="165"/>
    </row>
    <row r="4" spans="1:9" ht="15.75" x14ac:dyDescent="0.25">
      <c r="A4" s="18">
        <v>100</v>
      </c>
      <c r="B4" s="8" t="s">
        <v>36</v>
      </c>
      <c r="C4" s="164">
        <v>200</v>
      </c>
      <c r="D4" s="164"/>
      <c r="E4" s="11" t="s">
        <v>45</v>
      </c>
      <c r="F4" s="67">
        <v>100</v>
      </c>
      <c r="G4" s="8" t="s">
        <v>36</v>
      </c>
      <c r="H4" s="67">
        <v>200</v>
      </c>
      <c r="I4" s="8" t="s">
        <v>45</v>
      </c>
    </row>
    <row r="5" spans="1:9" x14ac:dyDescent="0.25">
      <c r="A5" s="3">
        <v>101</v>
      </c>
      <c r="B5" t="s">
        <v>37</v>
      </c>
      <c r="C5" s="3">
        <v>201</v>
      </c>
      <c r="E5" t="s">
        <v>46</v>
      </c>
      <c r="F5" s="67">
        <v>110</v>
      </c>
      <c r="G5" s="8" t="s">
        <v>38</v>
      </c>
      <c r="H5" s="67">
        <v>300</v>
      </c>
      <c r="I5" s="8" t="s">
        <v>50</v>
      </c>
    </row>
    <row r="6" spans="1:9" x14ac:dyDescent="0.25">
      <c r="A6" s="3">
        <v>102</v>
      </c>
      <c r="B6" t="s">
        <v>21</v>
      </c>
      <c r="C6" s="3">
        <v>202</v>
      </c>
      <c r="E6" t="s">
        <v>47</v>
      </c>
      <c r="F6" s="67">
        <v>120</v>
      </c>
      <c r="G6" s="8" t="s">
        <v>39</v>
      </c>
      <c r="H6" s="67">
        <v>400</v>
      </c>
      <c r="I6" s="8" t="s">
        <v>91</v>
      </c>
    </row>
    <row r="7" spans="1:9" x14ac:dyDescent="0.25">
      <c r="A7" s="3">
        <v>103</v>
      </c>
      <c r="B7" t="s">
        <v>22</v>
      </c>
      <c r="C7" s="3">
        <v>203</v>
      </c>
      <c r="E7" t="s">
        <v>374</v>
      </c>
      <c r="F7" s="67">
        <v>130</v>
      </c>
      <c r="G7" s="8" t="s">
        <v>40</v>
      </c>
      <c r="H7" s="67">
        <v>500</v>
      </c>
      <c r="I7" s="8" t="s">
        <v>95</v>
      </c>
    </row>
    <row r="8" spans="1:9" x14ac:dyDescent="0.25">
      <c r="A8" s="3">
        <v>104</v>
      </c>
      <c r="B8" t="s">
        <v>20</v>
      </c>
      <c r="C8" s="3">
        <v>204</v>
      </c>
      <c r="E8" t="s">
        <v>49</v>
      </c>
      <c r="F8" s="67">
        <v>140</v>
      </c>
      <c r="G8" s="8" t="s">
        <v>41</v>
      </c>
      <c r="H8" s="67">
        <v>600</v>
      </c>
      <c r="I8" s="8" t="s">
        <v>100</v>
      </c>
    </row>
    <row r="9" spans="1:9" ht="15.75" x14ac:dyDescent="0.25">
      <c r="A9" s="18">
        <v>110</v>
      </c>
      <c r="B9" s="8" t="s">
        <v>38</v>
      </c>
      <c r="C9" s="3">
        <v>205</v>
      </c>
      <c r="E9" t="s">
        <v>118</v>
      </c>
      <c r="F9" s="153">
        <v>150</v>
      </c>
      <c r="G9" s="8" t="s">
        <v>372</v>
      </c>
      <c r="H9" s="67">
        <v>700</v>
      </c>
      <c r="I9" s="8" t="s">
        <v>51</v>
      </c>
    </row>
    <row r="10" spans="1:9" x14ac:dyDescent="0.25">
      <c r="A10" s="3">
        <v>111</v>
      </c>
      <c r="B10" t="s">
        <v>23</v>
      </c>
      <c r="C10" s="3">
        <v>206</v>
      </c>
      <c r="E10" t="s">
        <v>113</v>
      </c>
      <c r="H10" s="67">
        <v>800</v>
      </c>
      <c r="I10" s="8" t="s">
        <v>4</v>
      </c>
    </row>
    <row r="11" spans="1:9" x14ac:dyDescent="0.25">
      <c r="A11" s="3">
        <v>112</v>
      </c>
      <c r="B11" t="s">
        <v>24</v>
      </c>
      <c r="C11" s="3">
        <v>207</v>
      </c>
      <c r="E11" t="s">
        <v>350</v>
      </c>
      <c r="H11" s="67">
        <v>900</v>
      </c>
      <c r="I11" s="8" t="s">
        <v>58</v>
      </c>
    </row>
    <row r="12" spans="1:9" x14ac:dyDescent="0.25">
      <c r="A12" s="3">
        <v>113</v>
      </c>
      <c r="B12" t="s">
        <v>25</v>
      </c>
      <c r="D12" s="3">
        <v>208</v>
      </c>
      <c r="E12" t="s">
        <v>82</v>
      </c>
      <c r="H12" s="67">
        <v>1000</v>
      </c>
      <c r="I12" s="8" t="s">
        <v>62</v>
      </c>
    </row>
    <row r="13" spans="1:9" x14ac:dyDescent="0.25">
      <c r="A13" s="3">
        <v>114</v>
      </c>
      <c r="B13" t="s">
        <v>19</v>
      </c>
      <c r="D13" s="3">
        <v>209</v>
      </c>
      <c r="E13" t="s">
        <v>83</v>
      </c>
      <c r="H13" s="67">
        <v>1100</v>
      </c>
      <c r="I13" s="8" t="s">
        <v>66</v>
      </c>
    </row>
    <row r="14" spans="1:9" x14ac:dyDescent="0.25">
      <c r="A14" s="3">
        <v>115</v>
      </c>
      <c r="B14" t="s">
        <v>26</v>
      </c>
      <c r="D14" s="3">
        <v>210</v>
      </c>
      <c r="E14" t="s">
        <v>84</v>
      </c>
      <c r="H14" s="67">
        <v>1200</v>
      </c>
      <c r="I14" s="8" t="s">
        <v>65</v>
      </c>
    </row>
    <row r="15" spans="1:9" ht="15.75" x14ac:dyDescent="0.25">
      <c r="A15" s="3">
        <v>116</v>
      </c>
      <c r="B15" t="s">
        <v>27</v>
      </c>
      <c r="C15" s="164">
        <v>300</v>
      </c>
      <c r="D15" s="164"/>
      <c r="E15" s="11" t="s">
        <v>50</v>
      </c>
      <c r="H15" s="67">
        <v>1300</v>
      </c>
      <c r="I15" s="8" t="s">
        <v>68</v>
      </c>
    </row>
    <row r="16" spans="1:9" ht="15.75" x14ac:dyDescent="0.25">
      <c r="A16" s="18">
        <v>120</v>
      </c>
      <c r="B16" s="8" t="s">
        <v>39</v>
      </c>
      <c r="D16" s="3">
        <v>301</v>
      </c>
      <c r="E16" t="s">
        <v>376</v>
      </c>
      <c r="H16" s="67">
        <v>1400</v>
      </c>
      <c r="I16" s="8" t="s">
        <v>73</v>
      </c>
    </row>
    <row r="17" spans="1:9" x14ac:dyDescent="0.25">
      <c r="A17" s="3">
        <v>121</v>
      </c>
      <c r="B17" t="s">
        <v>28</v>
      </c>
      <c r="D17" s="3">
        <v>302</v>
      </c>
      <c r="E17" t="s">
        <v>86</v>
      </c>
      <c r="H17" s="137">
        <v>1500</v>
      </c>
      <c r="I17" s="8" t="s">
        <v>265</v>
      </c>
    </row>
    <row r="18" spans="1:9" x14ac:dyDescent="0.25">
      <c r="A18" s="3">
        <v>122</v>
      </c>
      <c r="B18" t="s">
        <v>29</v>
      </c>
      <c r="D18" s="3">
        <v>303</v>
      </c>
      <c r="E18" t="s">
        <v>87</v>
      </c>
    </row>
    <row r="19" spans="1:9" x14ac:dyDescent="0.25">
      <c r="A19" s="3">
        <v>123</v>
      </c>
      <c r="B19" t="s">
        <v>378</v>
      </c>
      <c r="D19" s="3">
        <v>304</v>
      </c>
      <c r="E19" t="s">
        <v>88</v>
      </c>
      <c r="F19" s="72" t="s">
        <v>184</v>
      </c>
    </row>
    <row r="20" spans="1:9" ht="15.75" x14ac:dyDescent="0.25">
      <c r="A20" s="18">
        <v>130</v>
      </c>
      <c r="B20" s="8" t="s">
        <v>40</v>
      </c>
      <c r="D20" s="3">
        <v>305</v>
      </c>
      <c r="E20" t="s">
        <v>375</v>
      </c>
      <c r="F20" s="72" t="s">
        <v>185</v>
      </c>
    </row>
    <row r="21" spans="1:9" x14ac:dyDescent="0.25">
      <c r="A21" s="3">
        <v>131</v>
      </c>
      <c r="B21" t="s">
        <v>30</v>
      </c>
      <c r="D21" s="3">
        <v>306</v>
      </c>
      <c r="E21" t="s">
        <v>90</v>
      </c>
      <c r="F21" s="72" t="s">
        <v>186</v>
      </c>
    </row>
    <row r="22" spans="1:9" ht="15.75" x14ac:dyDescent="0.25">
      <c r="A22" s="3">
        <v>132</v>
      </c>
      <c r="B22" t="s">
        <v>31</v>
      </c>
      <c r="C22" s="164">
        <v>400</v>
      </c>
      <c r="D22" s="164"/>
      <c r="E22" s="11" t="s">
        <v>91</v>
      </c>
      <c r="F22" s="72" t="s">
        <v>187</v>
      </c>
    </row>
    <row r="23" spans="1:9" x14ac:dyDescent="0.25">
      <c r="A23" s="3">
        <v>133</v>
      </c>
      <c r="B23" t="s">
        <v>32</v>
      </c>
      <c r="D23" s="3">
        <v>401</v>
      </c>
      <c r="E23" t="s">
        <v>92</v>
      </c>
    </row>
    <row r="24" spans="1:9" x14ac:dyDescent="0.25">
      <c r="A24" s="3">
        <v>134</v>
      </c>
      <c r="B24" t="s">
        <v>33</v>
      </c>
      <c r="D24" s="3">
        <v>402</v>
      </c>
      <c r="E24" t="s">
        <v>93</v>
      </c>
    </row>
    <row r="25" spans="1:9" x14ac:dyDescent="0.25">
      <c r="A25" s="3">
        <v>135</v>
      </c>
      <c r="B25" t="s">
        <v>34</v>
      </c>
      <c r="D25" s="3">
        <v>403</v>
      </c>
      <c r="E25" t="s">
        <v>94</v>
      </c>
    </row>
    <row r="26" spans="1:9" ht="15.75" x14ac:dyDescent="0.25">
      <c r="A26" s="18">
        <v>140</v>
      </c>
      <c r="B26" s="8" t="s">
        <v>41</v>
      </c>
      <c r="D26" s="3">
        <v>404</v>
      </c>
      <c r="E26" t="s">
        <v>135</v>
      </c>
    </row>
    <row r="27" spans="1:9" ht="15.75" x14ac:dyDescent="0.25">
      <c r="A27" s="3">
        <v>141</v>
      </c>
      <c r="B27" t="s">
        <v>42</v>
      </c>
      <c r="C27" s="164">
        <v>500</v>
      </c>
      <c r="D27" s="164"/>
      <c r="E27" s="11" t="s">
        <v>95</v>
      </c>
    </row>
    <row r="28" spans="1:9" x14ac:dyDescent="0.25">
      <c r="A28" s="3">
        <v>142</v>
      </c>
      <c r="B28" t="s">
        <v>43</v>
      </c>
      <c r="D28" s="3">
        <v>501</v>
      </c>
      <c r="E28" t="s">
        <v>96</v>
      </c>
    </row>
    <row r="29" spans="1:9" x14ac:dyDescent="0.25">
      <c r="A29" s="3">
        <v>143</v>
      </c>
      <c r="B29" t="s">
        <v>44</v>
      </c>
      <c r="D29" s="3">
        <v>502</v>
      </c>
      <c r="E29" t="s">
        <v>97</v>
      </c>
    </row>
    <row r="30" spans="1:9" x14ac:dyDescent="0.25">
      <c r="A30" s="3">
        <v>144</v>
      </c>
      <c r="B30" t="s">
        <v>114</v>
      </c>
      <c r="D30" s="3">
        <v>503</v>
      </c>
      <c r="E30" t="s">
        <v>98</v>
      </c>
    </row>
    <row r="31" spans="1:9" x14ac:dyDescent="0.25">
      <c r="A31" s="3">
        <v>145</v>
      </c>
      <c r="B31" t="s">
        <v>377</v>
      </c>
      <c r="D31" s="3">
        <v>504</v>
      </c>
      <c r="E31" t="s">
        <v>99</v>
      </c>
    </row>
    <row r="32" spans="1:9" ht="15.75" x14ac:dyDescent="0.25">
      <c r="A32" s="152">
        <v>150</v>
      </c>
      <c r="B32" s="8" t="s">
        <v>372</v>
      </c>
      <c r="D32" s="3">
        <v>505</v>
      </c>
      <c r="E32" t="s">
        <v>351</v>
      </c>
    </row>
    <row r="33" spans="3:5" ht="15.75" x14ac:dyDescent="0.25">
      <c r="C33" s="164">
        <v>600</v>
      </c>
      <c r="D33" s="164"/>
      <c r="E33" s="11" t="s">
        <v>100</v>
      </c>
    </row>
    <row r="34" spans="3:5" x14ac:dyDescent="0.25">
      <c r="D34" s="3">
        <v>601</v>
      </c>
      <c r="E34" t="s">
        <v>101</v>
      </c>
    </row>
    <row r="35" spans="3:5" x14ac:dyDescent="0.25">
      <c r="D35" s="3">
        <v>602</v>
      </c>
      <c r="E35" t="s">
        <v>148</v>
      </c>
    </row>
    <row r="36" spans="3:5" x14ac:dyDescent="0.25">
      <c r="D36" s="3">
        <v>603</v>
      </c>
      <c r="E36" t="s">
        <v>103</v>
      </c>
    </row>
    <row r="37" spans="3:5" ht="15.75" x14ac:dyDescent="0.25">
      <c r="C37" s="164">
        <v>700</v>
      </c>
      <c r="D37" s="164"/>
      <c r="E37" s="11" t="s">
        <v>51</v>
      </c>
    </row>
    <row r="38" spans="3:5" x14ac:dyDescent="0.25">
      <c r="C38" s="3">
        <v>701</v>
      </c>
      <c r="E38" t="s">
        <v>347</v>
      </c>
    </row>
    <row r="39" spans="3:5" x14ac:dyDescent="0.25">
      <c r="C39" s="3">
        <v>702</v>
      </c>
      <c r="E39" t="s">
        <v>53</v>
      </c>
    </row>
    <row r="40" spans="3:5" x14ac:dyDescent="0.25">
      <c r="C40" s="3">
        <v>703</v>
      </c>
      <c r="E40" t="s">
        <v>54</v>
      </c>
    </row>
    <row r="41" spans="3:5" ht="15.75" x14ac:dyDescent="0.25">
      <c r="C41" s="3">
        <v>704</v>
      </c>
      <c r="D41" s="17"/>
      <c r="E41" t="s">
        <v>55</v>
      </c>
    </row>
    <row r="42" spans="3:5" x14ac:dyDescent="0.25">
      <c r="D42" s="3">
        <v>705</v>
      </c>
      <c r="E42" t="s">
        <v>145</v>
      </c>
    </row>
    <row r="43" spans="3:5" x14ac:dyDescent="0.25">
      <c r="D43" s="3">
        <v>706</v>
      </c>
      <c r="E43" t="s">
        <v>352</v>
      </c>
    </row>
    <row r="44" spans="3:5" ht="15.75" x14ac:dyDescent="0.25">
      <c r="C44" s="164">
        <v>800</v>
      </c>
      <c r="D44" s="164"/>
      <c r="E44" s="11" t="s">
        <v>4</v>
      </c>
    </row>
    <row r="45" spans="3:5" x14ac:dyDescent="0.25">
      <c r="C45" s="3">
        <v>801</v>
      </c>
      <c r="E45" t="s">
        <v>56</v>
      </c>
    </row>
    <row r="46" spans="3:5" x14ac:dyDescent="0.25">
      <c r="C46" s="3">
        <v>802</v>
      </c>
      <c r="E46" t="s">
        <v>57</v>
      </c>
    </row>
    <row r="47" spans="3:5" x14ac:dyDescent="0.25">
      <c r="D47" s="3">
        <v>803</v>
      </c>
      <c r="E47" t="s">
        <v>105</v>
      </c>
    </row>
    <row r="48" spans="3:5" x14ac:dyDescent="0.25">
      <c r="D48" s="3">
        <v>804</v>
      </c>
      <c r="E48" t="s">
        <v>149</v>
      </c>
    </row>
    <row r="49" spans="3:5" x14ac:dyDescent="0.25">
      <c r="D49" s="3">
        <v>805</v>
      </c>
      <c r="E49" t="s">
        <v>150</v>
      </c>
    </row>
    <row r="50" spans="3:5" ht="15.75" x14ac:dyDescent="0.25">
      <c r="C50" s="164">
        <v>900</v>
      </c>
      <c r="D50" s="164"/>
      <c r="E50" s="11" t="s">
        <v>58</v>
      </c>
    </row>
    <row r="51" spans="3:5" x14ac:dyDescent="0.25">
      <c r="C51" s="3">
        <v>901</v>
      </c>
      <c r="E51" t="s">
        <v>59</v>
      </c>
    </row>
    <row r="52" spans="3:5" x14ac:dyDescent="0.25">
      <c r="C52" s="3">
        <v>902</v>
      </c>
      <c r="E52" t="s">
        <v>60</v>
      </c>
    </row>
    <row r="53" spans="3:5" x14ac:dyDescent="0.25">
      <c r="C53" s="3">
        <v>903</v>
      </c>
      <c r="E53" t="s">
        <v>344</v>
      </c>
    </row>
    <row r="54" spans="3:5" x14ac:dyDescent="0.25">
      <c r="C54" s="3">
        <v>904</v>
      </c>
      <c r="E54" t="s">
        <v>61</v>
      </c>
    </row>
    <row r="55" spans="3:5" x14ac:dyDescent="0.25">
      <c r="D55" s="3">
        <v>905</v>
      </c>
      <c r="E55" t="s">
        <v>106</v>
      </c>
    </row>
    <row r="56" spans="3:5" x14ac:dyDescent="0.25">
      <c r="D56" s="3">
        <v>906</v>
      </c>
      <c r="E56" t="s">
        <v>107</v>
      </c>
    </row>
    <row r="57" spans="3:5" x14ac:dyDescent="0.25">
      <c r="D57" s="3">
        <v>907</v>
      </c>
      <c r="E57" t="s">
        <v>108</v>
      </c>
    </row>
    <row r="58" spans="3:5" x14ac:dyDescent="0.25">
      <c r="D58" s="3">
        <v>908</v>
      </c>
      <c r="E58" t="s">
        <v>109</v>
      </c>
    </row>
    <row r="59" spans="3:5" x14ac:dyDescent="0.25">
      <c r="D59" s="3">
        <v>909</v>
      </c>
      <c r="E59" t="s">
        <v>139</v>
      </c>
    </row>
    <row r="60" spans="3:5" x14ac:dyDescent="0.25">
      <c r="D60" s="3">
        <v>910</v>
      </c>
      <c r="E60" t="s">
        <v>353</v>
      </c>
    </row>
    <row r="61" spans="3:5" ht="15.75" x14ac:dyDescent="0.25">
      <c r="C61" s="164">
        <v>1000</v>
      </c>
      <c r="D61" s="164"/>
      <c r="E61" s="11" t="s">
        <v>62</v>
      </c>
    </row>
    <row r="62" spans="3:5" x14ac:dyDescent="0.25">
      <c r="C62" s="3">
        <v>1001</v>
      </c>
      <c r="E62" t="s">
        <v>63</v>
      </c>
    </row>
    <row r="63" spans="3:5" x14ac:dyDescent="0.25">
      <c r="C63" s="3">
        <v>1002</v>
      </c>
      <c r="E63" t="s">
        <v>64</v>
      </c>
    </row>
    <row r="64" spans="3:5" ht="15.75" x14ac:dyDescent="0.25">
      <c r="C64" s="164">
        <v>1100</v>
      </c>
      <c r="D64" s="164"/>
      <c r="E64" s="11" t="s">
        <v>66</v>
      </c>
    </row>
    <row r="65" spans="3:5" x14ac:dyDescent="0.25">
      <c r="C65" s="3">
        <v>1101</v>
      </c>
      <c r="E65" t="s">
        <v>67</v>
      </c>
    </row>
    <row r="66" spans="3:5" x14ac:dyDescent="0.25">
      <c r="C66" s="3">
        <v>1102</v>
      </c>
      <c r="E66" t="s">
        <v>29</v>
      </c>
    </row>
    <row r="67" spans="3:5" x14ac:dyDescent="0.25">
      <c r="D67" s="3">
        <v>1103</v>
      </c>
      <c r="E67" t="s">
        <v>110</v>
      </c>
    </row>
    <row r="68" spans="3:5" x14ac:dyDescent="0.25">
      <c r="D68" s="3">
        <v>1104</v>
      </c>
      <c r="E68" t="s">
        <v>273</v>
      </c>
    </row>
    <row r="69" spans="3:5" ht="15.75" x14ac:dyDescent="0.25">
      <c r="C69" s="164">
        <v>1200</v>
      </c>
      <c r="D69" s="164"/>
      <c r="E69" s="11" t="s">
        <v>65</v>
      </c>
    </row>
    <row r="70" spans="3:5" x14ac:dyDescent="0.25">
      <c r="C70" s="3">
        <v>1201</v>
      </c>
      <c r="E70" t="s">
        <v>355</v>
      </c>
    </row>
    <row r="71" spans="3:5" x14ac:dyDescent="0.25">
      <c r="C71" s="3">
        <v>1202</v>
      </c>
      <c r="E71" t="s">
        <v>354</v>
      </c>
    </row>
    <row r="72" spans="3:5" x14ac:dyDescent="0.25">
      <c r="C72" s="3">
        <v>1203</v>
      </c>
      <c r="E72" t="s">
        <v>356</v>
      </c>
    </row>
    <row r="73" spans="3:5" ht="15.75" x14ac:dyDescent="0.25">
      <c r="C73" s="164">
        <v>1300</v>
      </c>
      <c r="D73" s="164"/>
      <c r="E73" s="11" t="s">
        <v>68</v>
      </c>
    </row>
    <row r="74" spans="3:5" x14ac:dyDescent="0.25">
      <c r="C74" s="3">
        <v>1301</v>
      </c>
      <c r="E74" t="s">
        <v>69</v>
      </c>
    </row>
    <row r="75" spans="3:5" x14ac:dyDescent="0.25">
      <c r="C75" s="3">
        <v>1302</v>
      </c>
      <c r="E75" t="s">
        <v>70</v>
      </c>
    </row>
    <row r="76" spans="3:5" x14ac:dyDescent="0.25">
      <c r="C76" s="3">
        <v>1303</v>
      </c>
      <c r="E76" t="s">
        <v>71</v>
      </c>
    </row>
    <row r="77" spans="3:5" x14ac:dyDescent="0.25">
      <c r="C77" s="3">
        <v>1304</v>
      </c>
      <c r="E77" t="s">
        <v>72</v>
      </c>
    </row>
    <row r="78" spans="3:5" ht="15.75" x14ac:dyDescent="0.25">
      <c r="C78" s="164">
        <v>1400</v>
      </c>
      <c r="D78" s="164"/>
      <c r="E78" s="11" t="s">
        <v>73</v>
      </c>
    </row>
    <row r="79" spans="3:5" x14ac:dyDescent="0.25">
      <c r="C79" s="3">
        <v>1401</v>
      </c>
      <c r="E79" t="s">
        <v>75</v>
      </c>
    </row>
    <row r="80" spans="3:5" x14ac:dyDescent="0.25">
      <c r="C80" s="3">
        <v>1402</v>
      </c>
      <c r="E80" t="s">
        <v>76</v>
      </c>
    </row>
    <row r="81" spans="1:5" x14ac:dyDescent="0.25">
      <c r="C81" s="3">
        <v>1403</v>
      </c>
      <c r="E81" t="s">
        <v>77</v>
      </c>
    </row>
    <row r="82" spans="1:5" x14ac:dyDescent="0.25">
      <c r="C82" s="3">
        <v>1404</v>
      </c>
      <c r="E82" t="s">
        <v>78</v>
      </c>
    </row>
    <row r="83" spans="1:5" x14ac:dyDescent="0.25">
      <c r="C83" s="3">
        <v>1405</v>
      </c>
      <c r="E83" t="s">
        <v>112</v>
      </c>
    </row>
    <row r="84" spans="1:5" x14ac:dyDescent="0.25">
      <c r="C84" s="3">
        <v>1406</v>
      </c>
      <c r="E84" t="s">
        <v>115</v>
      </c>
    </row>
    <row r="85" spans="1:5" x14ac:dyDescent="0.25">
      <c r="C85" s="3">
        <v>1407</v>
      </c>
      <c r="D85" s="27"/>
      <c r="E85" t="s">
        <v>370</v>
      </c>
    </row>
    <row r="86" spans="1:5" ht="15.75" x14ac:dyDescent="0.25">
      <c r="C86" s="164">
        <v>1500</v>
      </c>
      <c r="D86" s="164"/>
      <c r="E86" s="11" t="s">
        <v>265</v>
      </c>
    </row>
    <row r="87" spans="1:5" ht="28.5" customHeight="1" x14ac:dyDescent="0.25">
      <c r="A87" s="139"/>
      <c r="D87" s="3">
        <v>1501</v>
      </c>
      <c r="E87" s="16" t="s">
        <v>357</v>
      </c>
    </row>
    <row r="88" spans="1:5" ht="27" x14ac:dyDescent="0.25">
      <c r="A88" s="139"/>
      <c r="D88" s="3">
        <v>1502</v>
      </c>
      <c r="E88" s="16" t="s">
        <v>358</v>
      </c>
    </row>
    <row r="89" spans="1:5" ht="27" x14ac:dyDescent="0.25">
      <c r="A89" s="139"/>
      <c r="D89" s="3">
        <v>1503</v>
      </c>
      <c r="E89" s="16" t="s">
        <v>359</v>
      </c>
    </row>
    <row r="90" spans="1:5" x14ac:dyDescent="0.25">
      <c r="D90" s="3">
        <v>1504</v>
      </c>
      <c r="E90" t="s">
        <v>266</v>
      </c>
    </row>
  </sheetData>
  <mergeCells count="19">
    <mergeCell ref="C15:D15"/>
    <mergeCell ref="C22:D22"/>
    <mergeCell ref="C27:D27"/>
    <mergeCell ref="C33:D33"/>
    <mergeCell ref="C86:D86"/>
    <mergeCell ref="C78:D78"/>
    <mergeCell ref="C44:D44"/>
    <mergeCell ref="C50:D50"/>
    <mergeCell ref="C61:D61"/>
    <mergeCell ref="C64:D64"/>
    <mergeCell ref="C69:D69"/>
    <mergeCell ref="C73:D73"/>
    <mergeCell ref="C37:D37"/>
    <mergeCell ref="C4:D4"/>
    <mergeCell ref="F3:I3"/>
    <mergeCell ref="A2:B2"/>
    <mergeCell ref="C2:E2"/>
    <mergeCell ref="F2:G2"/>
    <mergeCell ref="H2:I2"/>
  </mergeCells>
  <printOptions gridLines="1"/>
  <pageMargins left="0.9055118110236221" right="0.19685039370078741" top="0.59055118110236227" bottom="0.39370078740157483" header="0.31496062992125984" footer="0.31496062992125984"/>
  <pageSetup paperSize="9" scale="92" fitToHeight="2" orientation="portrait" horizontalDpi="4294967292" verticalDpi="1200" r:id="rId1"/>
  <headerFooter>
    <oddHeader>&amp;F</oddHeader>
  </headerFooter>
  <rowBreaks count="1" manualBreakCount="1">
    <brk id="4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3">
    <tabColor theme="9" tint="0.39997558519241921"/>
  </sheetPr>
  <dimension ref="A1:R519"/>
  <sheetViews>
    <sheetView workbookViewId="0">
      <selection activeCell="B24" sqref="B24"/>
    </sheetView>
  </sheetViews>
  <sheetFormatPr baseColWidth="10" defaultRowHeight="15" x14ac:dyDescent="0.25"/>
  <cols>
    <col min="2" max="2" width="22.7109375" style="2" customWidth="1"/>
    <col min="3" max="3" width="13.7109375" customWidth="1"/>
    <col min="4" max="4" width="14.5703125" customWidth="1"/>
    <col min="5" max="5" width="13.7109375" customWidth="1"/>
    <col min="6" max="6" width="17.5703125" customWidth="1"/>
    <col min="7" max="8" width="13.7109375" customWidth="1"/>
    <col min="9" max="9" width="15.7109375" customWidth="1"/>
    <col min="10" max="12" width="13.7109375" customWidth="1"/>
    <col min="13" max="13" width="15.140625" customWidth="1"/>
    <col min="14" max="15" width="13.7109375" customWidth="1"/>
    <col min="16" max="16" width="17" customWidth="1"/>
    <col min="17" max="17" width="15" customWidth="1"/>
    <col min="18" max="18" width="14.5703125" style="2" customWidth="1"/>
  </cols>
  <sheetData>
    <row r="1" spans="1:18" ht="26.25" x14ac:dyDescent="0.4">
      <c r="A1" s="127" t="s">
        <v>138</v>
      </c>
      <c r="B1" s="128" t="s">
        <v>343</v>
      </c>
      <c r="Q1" s="3"/>
    </row>
    <row r="2" spans="1:18" ht="18.75" customHeight="1" x14ac:dyDescent="0.3">
      <c r="A2" s="3" t="s">
        <v>379</v>
      </c>
      <c r="B2" s="36" t="s">
        <v>152</v>
      </c>
      <c r="C2" s="32" t="s">
        <v>151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4"/>
      <c r="O2" s="35"/>
      <c r="P2" s="35"/>
      <c r="Q2" s="37"/>
      <c r="R2" s="38" t="s">
        <v>153</v>
      </c>
    </row>
    <row r="3" spans="1:18" ht="38.25" x14ac:dyDescent="0.25">
      <c r="A3" s="25" t="s">
        <v>117</v>
      </c>
      <c r="B3" s="25" t="s">
        <v>6</v>
      </c>
      <c r="C3" s="15" t="s">
        <v>45</v>
      </c>
      <c r="D3" s="15" t="s">
        <v>50</v>
      </c>
      <c r="E3" s="15" t="s">
        <v>91</v>
      </c>
      <c r="F3" s="15" t="s">
        <v>95</v>
      </c>
      <c r="G3" s="15" t="s">
        <v>100</v>
      </c>
      <c r="H3" s="15" t="s">
        <v>51</v>
      </c>
      <c r="I3" s="15" t="s">
        <v>4</v>
      </c>
      <c r="J3" s="15" t="s">
        <v>58</v>
      </c>
      <c r="K3" s="15" t="s">
        <v>62</v>
      </c>
      <c r="L3" s="15" t="s">
        <v>66</v>
      </c>
      <c r="M3" s="15" t="s">
        <v>65</v>
      </c>
      <c r="N3" s="15" t="s">
        <v>68</v>
      </c>
      <c r="O3" s="15" t="s">
        <v>73</v>
      </c>
      <c r="P3" s="15" t="s">
        <v>267</v>
      </c>
      <c r="Q3" s="6" t="s">
        <v>371</v>
      </c>
      <c r="R3" s="28" t="s">
        <v>147</v>
      </c>
    </row>
    <row r="4" spans="1:18" x14ac:dyDescent="0.25">
      <c r="A4" s="2" t="s">
        <v>7</v>
      </c>
      <c r="B4" s="2">
        <f>SUMIF(Einn._Liste!$F$4:$F$1000,1,Einn._Liste!$G$4:$G$1000)</f>
        <v>0</v>
      </c>
      <c r="C4" s="7">
        <f>SUMIFS(Ausg._Liste!$H$4:$H$550,Ausg._Liste!$E$4:$E$550,200,Ausg._Liste!$G$4:$G$550,1)</f>
        <v>0</v>
      </c>
      <c r="D4" s="7">
        <f>SUMIFS(Ausg._Liste!$H$4:$H$550,Ausg._Liste!$E$4:$E$550,300,Ausg._Liste!$G$4:$G$550,1)</f>
        <v>0</v>
      </c>
      <c r="E4" s="7">
        <f>SUMIFS(Ausg._Liste!$H$4:$H$550,Ausg._Liste!$E$4:$E$550,400,Ausg._Liste!$G$4:$G$550,1)</f>
        <v>0</v>
      </c>
      <c r="F4" s="7">
        <f>SUMIFS(Ausg._Liste!$H$4:$H$550,Ausg._Liste!$E$4:$E$550,500,Ausg._Liste!$G$4:$G$550,1)</f>
        <v>0</v>
      </c>
      <c r="G4" s="7">
        <f>SUMIFS(Ausg._Liste!$H$4:$H$550,Ausg._Liste!$E$4:$E$550,600,Ausg._Liste!$G$4:$G$550,1)</f>
        <v>0</v>
      </c>
      <c r="H4" s="7">
        <f>SUMIFS(Ausg._Liste!$H$4:$H$550,Ausg._Liste!$E$4:$E$550,700,Ausg._Liste!$G$4:$G$550,1)</f>
        <v>0</v>
      </c>
      <c r="I4" s="7">
        <f>SUMIFS(Ausg._Liste!$H$4:$H$550,Ausg._Liste!$E$4:$E$550,800,Ausg._Liste!$G$4:$G$550,1)</f>
        <v>0</v>
      </c>
      <c r="J4" s="7">
        <f>SUMIFS(Ausg._Liste!$H$4:$H$550,Ausg._Liste!$E$4:$E$550,900,Ausg._Liste!$G$4:$G$550,1)</f>
        <v>0</v>
      </c>
      <c r="K4" s="7">
        <f>SUMIFS(Ausg._Liste!$H$4:$H$550,Ausg._Liste!$E$4:$E$550,1000,Ausg._Liste!$G$4:$G$550,1)</f>
        <v>0</v>
      </c>
      <c r="L4" s="7">
        <f>SUMIFS(Ausg._Liste!$H$4:$H$550,Ausg._Liste!$E$4:$E$550,1100,Ausg._Liste!$G$4:$G$550,1)</f>
        <v>0</v>
      </c>
      <c r="M4" s="7">
        <f>SUMIFS(Ausg._Liste!$H$4:$H$550,Ausg._Liste!$E$4:$E$550,1200,Ausg._Liste!$G$4:$G$550,1)</f>
        <v>0</v>
      </c>
      <c r="N4" s="7">
        <f>SUMIFS(Ausg._Liste!$H$4:$H$550,Ausg._Liste!$E$4:$E$550,1300,Ausg._Liste!$G$4:$G$550,1)</f>
        <v>0</v>
      </c>
      <c r="O4" s="7">
        <f>SUMIFS(Ausg._Liste!$H$4:$H$550,Ausg._Liste!$E$4:$E$550,1400,Ausg._Liste!$G$4:$G$550,1)</f>
        <v>0</v>
      </c>
      <c r="P4" s="7">
        <f>SUMIFS(Ausg._Liste!$H$4:$H$550,Ausg._Liste!$E$4:$E$550,1500,Ausg._Liste!$G$4:$G$550,1)</f>
        <v>0</v>
      </c>
      <c r="Q4" s="20">
        <f t="shared" ref="Q4:Q15" si="0">SUM(C4:P4)</f>
        <v>0</v>
      </c>
      <c r="R4" s="20">
        <f>B4-Q4</f>
        <v>0</v>
      </c>
    </row>
    <row r="5" spans="1:18" x14ac:dyDescent="0.25">
      <c r="A5" s="2" t="s">
        <v>8</v>
      </c>
      <c r="B5" s="2">
        <f>SUMIF(Einn._Liste!$F$4:$F$1000,2,Einn._Liste!$G$4:$G$1000)</f>
        <v>0</v>
      </c>
      <c r="C5" s="7">
        <f>SUMIFS(Ausg._Liste!$H$4:$H$550,Ausg._Liste!$E$4:$E$550,200,Ausg._Liste!$G$4:$G$550,2)</f>
        <v>0</v>
      </c>
      <c r="D5" s="7">
        <f>SUMIFS(Ausg._Liste!$H$4:$H$550,Ausg._Liste!$E$4:$E$550,300,Ausg._Liste!$G$4:$G$550,2)</f>
        <v>0</v>
      </c>
      <c r="E5" s="7">
        <f>SUMIFS(Ausg._Liste!$H$4:$H$550,Ausg._Liste!$E$4:$E$550,400,Ausg._Liste!$G$4:$G$550,2)</f>
        <v>0</v>
      </c>
      <c r="F5" s="7">
        <f>SUMIFS(Ausg._Liste!$H$4:$H$550,Ausg._Liste!$E$4:$E$550,500,Ausg._Liste!$G$4:$G$550,2)</f>
        <v>0</v>
      </c>
      <c r="G5" s="7">
        <f>SUMIFS(Ausg._Liste!$H$4:$H$550,Ausg._Liste!$E$4:$E$550,600,Ausg._Liste!$G$4:$G$550,2)</f>
        <v>0</v>
      </c>
      <c r="H5" s="7">
        <f>SUMIFS(Ausg._Liste!$H$4:$H$550,Ausg._Liste!$E$4:$E$550,700,Ausg._Liste!$G$4:$G$550,2)</f>
        <v>0</v>
      </c>
      <c r="I5" s="7">
        <f>SUMIFS(Ausg._Liste!$H$4:$H$550,Ausg._Liste!$E$4:$E$550,800,Ausg._Liste!$G$4:$G$550,2)</f>
        <v>0</v>
      </c>
      <c r="J5" s="7">
        <f>SUMIFS(Ausg._Liste!$H$4:$H$550,Ausg._Liste!$E$4:$E$550,900,Ausg._Liste!$G$4:$G$550,2)</f>
        <v>0</v>
      </c>
      <c r="K5" s="7">
        <f>SUMIFS(Ausg._Liste!$H$4:$H$550,Ausg._Liste!$E$4:$E$550,1000,Ausg._Liste!$G$4:$G$550,2)</f>
        <v>0</v>
      </c>
      <c r="L5" s="7">
        <f>SUMIFS(Ausg._Liste!$H$4:$H$550,Ausg._Liste!$E$4:$E$550,1100,Ausg._Liste!$G$4:$G$550,2)</f>
        <v>0</v>
      </c>
      <c r="M5" s="7">
        <f>SUMIFS(Ausg._Liste!$H$4:$H$550,Ausg._Liste!$E$4:$E$550,1200,Ausg._Liste!$G$4:$G$550,2)</f>
        <v>0</v>
      </c>
      <c r="N5" s="7">
        <f>SUMIFS(Ausg._Liste!$H$4:$H$550,Ausg._Liste!$E$4:$E$550,1300,Ausg._Liste!$G$4:$G$550,2)</f>
        <v>0</v>
      </c>
      <c r="O5" s="7">
        <f>SUMIFS(Ausg._Liste!$H$4:$H$550,Ausg._Liste!$E$4:$E$550,1400,Ausg._Liste!$G$4:$G$550,2)</f>
        <v>0</v>
      </c>
      <c r="P5" s="7">
        <f>SUMIFS(Ausg._Liste!$H$4:$H$550,Ausg._Liste!$E$4:$E$550,1500,Ausg._Liste!$G$4:$G$550,2)</f>
        <v>0</v>
      </c>
      <c r="Q5" s="20">
        <f t="shared" si="0"/>
        <v>0</v>
      </c>
      <c r="R5" s="126">
        <f>B5-Q5</f>
        <v>0</v>
      </c>
    </row>
    <row r="6" spans="1:18" x14ac:dyDescent="0.25">
      <c r="A6" s="2" t="s">
        <v>9</v>
      </c>
      <c r="B6" s="2">
        <f>SUMIF(Einn._Liste!$F$4:$F$1000,3,Einn._Liste!$G$4:$G$1000)</f>
        <v>0</v>
      </c>
      <c r="C6" s="7">
        <f>SUMIFS(Ausg._Liste!$H$4:$H$550,Ausg._Liste!$E$4:$E$550,200,Ausg._Liste!$G$4:$G$550,3)</f>
        <v>0</v>
      </c>
      <c r="D6" s="7">
        <f>SUMIFS(Ausg._Liste!$H$4:$H$550,Ausg._Liste!$E$4:$E$550,300,Ausg._Liste!$G$4:$G$550,3)</f>
        <v>0</v>
      </c>
      <c r="E6" s="7">
        <f>SUMIFS(Ausg._Liste!$H$4:$H$550,Ausg._Liste!$E$4:$E$550,400,Ausg._Liste!$G$4:$G$550,3)</f>
        <v>0</v>
      </c>
      <c r="F6" s="7">
        <f>SUMIFS(Ausg._Liste!$H$4:$H$550,Ausg._Liste!$E$4:$E$550,500,Ausg._Liste!$G$4:$G$550,3)</f>
        <v>0</v>
      </c>
      <c r="G6" s="7">
        <f>SUMIFS(Ausg._Liste!$H$4:$H$550,Ausg._Liste!$E$4:$E$550,600,Ausg._Liste!$G$4:$G$550,3)</f>
        <v>0</v>
      </c>
      <c r="H6" s="7">
        <f>SUMIFS(Ausg._Liste!$H$4:$H$550,Ausg._Liste!$E$4:$E$550,700,Ausg._Liste!$G$4:$G$550,3)</f>
        <v>0</v>
      </c>
      <c r="I6" s="7">
        <f>SUMIFS(Ausg._Liste!$H$4:$H$550,Ausg._Liste!$E$4:$E$550,800,Ausg._Liste!$G$4:$G$550,3)</f>
        <v>0</v>
      </c>
      <c r="J6" s="7">
        <f>SUMIFS(Ausg._Liste!$H$4:$H$550,Ausg._Liste!$E$4:$E$550,900,Ausg._Liste!$G$4:$G$550,3)</f>
        <v>0</v>
      </c>
      <c r="K6" s="7">
        <f>SUMIFS(Ausg._Liste!$H$4:$H$550,Ausg._Liste!$E$4:$E$550,1000,Ausg._Liste!$G$4:$G$550,3)</f>
        <v>0</v>
      </c>
      <c r="L6" s="7">
        <f>SUMIFS(Ausg._Liste!$H$4:$H$550,Ausg._Liste!$E$4:$E$550,1100,Ausg._Liste!$G$4:$G$550,3)</f>
        <v>0</v>
      </c>
      <c r="M6" s="7">
        <f>SUMIFS(Ausg._Liste!$H$4:$H$550,Ausg._Liste!$E$4:$E$550,1200,Ausg._Liste!$G$4:$G$550,3)</f>
        <v>0</v>
      </c>
      <c r="N6" s="7">
        <f>SUMIFS(Ausg._Liste!$H$4:$H$550,Ausg._Liste!$E$4:$E$550,1300,Ausg._Liste!$G$4:$G$550,3)</f>
        <v>0</v>
      </c>
      <c r="O6" s="7">
        <f>SUMIFS(Ausg._Liste!$H$4:$H$550,Ausg._Liste!$E$4:$E$550,1400,Ausg._Liste!$G$4:$G$550,3)</f>
        <v>0</v>
      </c>
      <c r="P6" s="7">
        <f>SUMIFS(Ausg._Liste!$H$4:$H$550,Ausg._Liste!$E$4:$E$550,1500,Ausg._Liste!$G$4:$G$550,3)</f>
        <v>0</v>
      </c>
      <c r="Q6" s="20">
        <f t="shared" si="0"/>
        <v>0</v>
      </c>
      <c r="R6" s="126">
        <f t="shared" ref="R6:R15" si="1">B6-Q6</f>
        <v>0</v>
      </c>
    </row>
    <row r="7" spans="1:18" x14ac:dyDescent="0.25">
      <c r="A7" s="2" t="s">
        <v>10</v>
      </c>
      <c r="B7" s="2">
        <f>SUMIF(Einn._Liste!$F$4:$F$1000,4,Einn._Liste!$G$4:$G$1000)</f>
        <v>0</v>
      </c>
      <c r="C7" s="7">
        <f>SUMIFS(Ausg._Liste!$H$4:$H$550,Ausg._Liste!$E$4:$E$550,200,Ausg._Liste!$G$4:$G$550,4)</f>
        <v>0</v>
      </c>
      <c r="D7" s="7">
        <f>SUMIFS(Ausg._Liste!$H$4:$H$550,Ausg._Liste!$E$4:$E$550,300,Ausg._Liste!$G$4:$G$550,4)</f>
        <v>0</v>
      </c>
      <c r="E7" s="7">
        <f>SUMIFS(Ausg._Liste!$H$4:$H$550,Ausg._Liste!$E$4:$E$550,400,Ausg._Liste!$G$4:$G$550,4)</f>
        <v>0</v>
      </c>
      <c r="F7" s="7">
        <f>SUMIFS(Ausg._Liste!$H$4:$H$550,Ausg._Liste!$E$4:$E$550,500,Ausg._Liste!$G$4:$G$550,4)</f>
        <v>0</v>
      </c>
      <c r="G7" s="7">
        <f>SUMIFS(Ausg._Liste!$H$4:$H$550,Ausg._Liste!$E$4:$E$550,600,Ausg._Liste!$G$4:$G$550,4)</f>
        <v>0</v>
      </c>
      <c r="H7" s="7">
        <f>SUMIFS(Ausg._Liste!$H$4:$H$550,Ausg._Liste!$E$4:$E$550,700,Ausg._Liste!$G$4:$G$550,4)</f>
        <v>0</v>
      </c>
      <c r="I7" s="7">
        <f>SUMIFS(Ausg._Liste!$H$4:$H$550,Ausg._Liste!$E$4:$E$550,800,Ausg._Liste!$G$4:$G$550,4)</f>
        <v>0</v>
      </c>
      <c r="J7" s="7">
        <f>SUMIFS(Ausg._Liste!$H$4:$H$550,Ausg._Liste!$E$4:$E$550,900,Ausg._Liste!$G$4:$G$550,4)</f>
        <v>0</v>
      </c>
      <c r="K7" s="7">
        <f>SUMIFS(Ausg._Liste!$H$4:$H$550,Ausg._Liste!$E$4:$E$550,1000,Ausg._Liste!$G$4:$G$550,4)</f>
        <v>0</v>
      </c>
      <c r="L7" s="7">
        <f>SUMIFS(Ausg._Liste!$H$4:$H$550,Ausg._Liste!$E$4:$E$550,1100,Ausg._Liste!$G$4:$G$550,4)</f>
        <v>0</v>
      </c>
      <c r="M7" s="7">
        <f>SUMIFS(Ausg._Liste!$H$4:$H$550,Ausg._Liste!$E$4:$E$550,1200,Ausg._Liste!$G$4:$G$550,4)</f>
        <v>0</v>
      </c>
      <c r="N7" s="7">
        <f>SUMIFS(Ausg._Liste!$H$4:$H$550,Ausg._Liste!$E$4:$E$550,1300,Ausg._Liste!$G$4:$G$550,4)</f>
        <v>0</v>
      </c>
      <c r="O7" s="7">
        <f>SUMIFS(Ausg._Liste!$H$4:$H$550,Ausg._Liste!$E$4:$E$550,1400,Ausg._Liste!$G$4:$G$550,4)</f>
        <v>0</v>
      </c>
      <c r="P7" s="7">
        <f>SUMIFS(Ausg._Liste!$H$4:$H$550,Ausg._Liste!$E$4:$E$550,1500,Ausg._Liste!$G$4:$G$550,3)</f>
        <v>0</v>
      </c>
      <c r="Q7" s="20">
        <f t="shared" si="0"/>
        <v>0</v>
      </c>
      <c r="R7" s="126">
        <f t="shared" si="1"/>
        <v>0</v>
      </c>
    </row>
    <row r="8" spans="1:18" x14ac:dyDescent="0.25">
      <c r="A8" s="2" t="s">
        <v>11</v>
      </c>
      <c r="B8" s="2">
        <f>SUMIF(Einn._Liste!$F$4:$F$1000,5,Einn._Liste!$G$4:$G$1000)</f>
        <v>0</v>
      </c>
      <c r="C8" s="7">
        <f>SUMIFS(Ausg._Liste!$H$4:$H$550,Ausg._Liste!$E$4:$E$550,200,Ausg._Liste!$G$4:$G$550,5)</f>
        <v>0</v>
      </c>
      <c r="D8" s="7">
        <f>SUMIFS(Ausg._Liste!$H$4:$H$550,Ausg._Liste!$E$4:$E$550,300,Ausg._Liste!$G$4:$G$550,5)</f>
        <v>0</v>
      </c>
      <c r="E8" s="7">
        <f>SUMIFS(Ausg._Liste!$H$4:$H$550,Ausg._Liste!$E$4:$E$550,400,Ausg._Liste!$G$4:$G$550,5)</f>
        <v>0</v>
      </c>
      <c r="F8" s="7">
        <f>SUMIFS(Ausg._Liste!$H$4:$H$550,Ausg._Liste!$E$4:$E$550,500,Ausg._Liste!$G$4:$G$550,5)</f>
        <v>0</v>
      </c>
      <c r="G8" s="7">
        <f>SUMIFS(Ausg._Liste!$H$4:$H$550,Ausg._Liste!$E$4:$E$550,600,Ausg._Liste!$G$4:$G$550,5)</f>
        <v>0</v>
      </c>
      <c r="H8" s="7">
        <f>SUMIFS(Ausg._Liste!$H$4:$H$550,Ausg._Liste!$E$4:$E$550,700,Ausg._Liste!$G$4:$G$550,5)</f>
        <v>0</v>
      </c>
      <c r="I8" s="7">
        <f>SUMIFS(Ausg._Liste!$H$4:$H$550,Ausg._Liste!$E$4:$E$550,800,Ausg._Liste!$G$4:$G$550,5)</f>
        <v>0</v>
      </c>
      <c r="J8" s="7">
        <f>SUMIFS(Ausg._Liste!$H$4:$H$550,Ausg._Liste!$E$4:$E$550,900,Ausg._Liste!$G$4:$G$550,5)</f>
        <v>0</v>
      </c>
      <c r="K8" s="7">
        <f>SUMIFS(Ausg._Liste!$H$4:$H$550,Ausg._Liste!$E$4:$E$550,1000,Ausg._Liste!$G$4:$G$550,5)</f>
        <v>0</v>
      </c>
      <c r="L8" s="7">
        <f>SUMIFS(Ausg._Liste!$H$4:$H$550,Ausg._Liste!$E$4:$E$550,1100,Ausg._Liste!$G$4:$G$550,5)</f>
        <v>0</v>
      </c>
      <c r="M8" s="7">
        <f>SUMIFS(Ausg._Liste!$H$4:$H$550,Ausg._Liste!$E$4:$E$550,1200,Ausg._Liste!$G$4:$G$550,5)</f>
        <v>0</v>
      </c>
      <c r="N8" s="7">
        <f>SUMIFS(Ausg._Liste!$H$4:$H$550,Ausg._Liste!$E$4:$E$550,1300,Ausg._Liste!$G$4:$G$550,5)</f>
        <v>0</v>
      </c>
      <c r="O8" s="7">
        <f>SUMIFS(Ausg._Liste!$H$4:$H$550,Ausg._Liste!$E$4:$E$550,1400,Ausg._Liste!$G$4:$G$550,5)</f>
        <v>0</v>
      </c>
      <c r="P8" s="7">
        <f>SUMIFS(Ausg._Liste!$H$4:$H$550,Ausg._Liste!$E$4:$E$550,1500,Ausg._Liste!$G$4:$G$550,5)</f>
        <v>0</v>
      </c>
      <c r="Q8" s="20">
        <f t="shared" si="0"/>
        <v>0</v>
      </c>
      <c r="R8" s="126">
        <f t="shared" si="1"/>
        <v>0</v>
      </c>
    </row>
    <row r="9" spans="1:18" x14ac:dyDescent="0.25">
      <c r="A9" s="2" t="s">
        <v>12</v>
      </c>
      <c r="B9" s="2">
        <f>SUMIF(Einn._Liste!$F$4:$F$1000,6,Einn._Liste!$G$4:$G$1000)</f>
        <v>0</v>
      </c>
      <c r="C9" s="7">
        <f>SUMIFS(Ausg._Liste!$H$4:$H$550,Ausg._Liste!$E$4:$E$550,200,Ausg._Liste!$G$4:$G$550,6)</f>
        <v>0</v>
      </c>
      <c r="D9" s="7">
        <f>SUMIFS(Ausg._Liste!$H$4:$H$550,Ausg._Liste!$E$4:$E$550,300,Ausg._Liste!$G$4:$G$550,6)</f>
        <v>0</v>
      </c>
      <c r="E9" s="7">
        <f>SUMIFS(Ausg._Liste!$H$4:$H$550,Ausg._Liste!$E$4:$E$550,400,Ausg._Liste!$G$4:$G$550,6)</f>
        <v>0</v>
      </c>
      <c r="F9" s="7">
        <f>SUMIFS(Ausg._Liste!$H$4:$H$550,Ausg._Liste!$E$4:$E$550,500,Ausg._Liste!$G$4:$G$550,6)</f>
        <v>0</v>
      </c>
      <c r="G9" s="7">
        <f>SUMIFS(Ausg._Liste!$H$4:$H$550,Ausg._Liste!$E$4:$E$550,600,Ausg._Liste!$G$4:$G$550,6)</f>
        <v>0</v>
      </c>
      <c r="H9" s="7">
        <f>SUMIFS(Ausg._Liste!$H$4:$H$550,Ausg._Liste!$E$4:$E$550,700,Ausg._Liste!$G$4:$G$550,6)</f>
        <v>0</v>
      </c>
      <c r="I9" s="7">
        <f>SUMIFS(Ausg._Liste!$H$4:$H$550,Ausg._Liste!$E$4:$E$550,800,Ausg._Liste!$G$4:$G$550,6)</f>
        <v>0</v>
      </c>
      <c r="J9" s="7">
        <f>SUMIFS(Ausg._Liste!$H$4:$H$550,Ausg._Liste!$E$4:$E$550,900,Ausg._Liste!$G$4:$G$550,6)</f>
        <v>0</v>
      </c>
      <c r="K9" s="7">
        <f>SUMIFS(Ausg._Liste!$H$4:$H$550,Ausg._Liste!$E$4:$E$550,1000,Ausg._Liste!$G$4:$G$550,6)</f>
        <v>0</v>
      </c>
      <c r="L9" s="7">
        <f>SUMIFS(Ausg._Liste!$H$4:$H$550,Ausg._Liste!$E$4:$E$550,1100,Ausg._Liste!$G$4:$G$550,6)</f>
        <v>0</v>
      </c>
      <c r="M9" s="7">
        <f>SUMIFS(Ausg._Liste!$H$4:$H$550,Ausg._Liste!$E$4:$E$550,1200,Ausg._Liste!$G$4:$G$550,6)</f>
        <v>0</v>
      </c>
      <c r="N9" s="7">
        <f>SUMIFS(Ausg._Liste!$H$4:$H$550,Ausg._Liste!$E$4:$E$550,1300,Ausg._Liste!$G$4:$G$550,6)</f>
        <v>0</v>
      </c>
      <c r="O9" s="7">
        <f>SUMIFS(Ausg._Liste!$H$4:$H$550,Ausg._Liste!$E$4:$E$550,1400,Ausg._Liste!$G$4:$G$550,6)</f>
        <v>0</v>
      </c>
      <c r="P9" s="7">
        <f>SUMIFS(Ausg._Liste!$H$4:$H$550,Ausg._Liste!$E$4:$E$550,1500,Ausg._Liste!$G$4:$G$550,6)</f>
        <v>0</v>
      </c>
      <c r="Q9" s="20">
        <f t="shared" si="0"/>
        <v>0</v>
      </c>
      <c r="R9" s="126">
        <f t="shared" si="1"/>
        <v>0</v>
      </c>
    </row>
    <row r="10" spans="1:18" x14ac:dyDescent="0.25">
      <c r="A10" s="2" t="s">
        <v>13</v>
      </c>
      <c r="B10" s="2">
        <f>SUMIF(Einn._Liste!$F$4:$F$1000,7,Einn._Liste!$G$4:$G$1000)</f>
        <v>0</v>
      </c>
      <c r="C10" s="7">
        <f>SUMIFS(Ausg._Liste!$H$4:$H$550,Ausg._Liste!$E$4:$E$550,200,Ausg._Liste!$G$4:$G$550,7)</f>
        <v>0</v>
      </c>
      <c r="D10" s="7">
        <f>SUMIFS(Ausg._Liste!$H$4:$H$550,Ausg._Liste!$E$4:$E$550,300,Ausg._Liste!$G$4:$G$550,7)</f>
        <v>0</v>
      </c>
      <c r="E10" s="7">
        <f>SUMIFS(Ausg._Liste!$H$4:$H$550,Ausg._Liste!$E$4:$E$550,400,Ausg._Liste!$G$4:$G$550,7)</f>
        <v>0</v>
      </c>
      <c r="F10" s="7">
        <f>SUMIFS(Ausg._Liste!$H$4:$H$550,Ausg._Liste!$E$4:$E$550,500,Ausg._Liste!$G$4:$G$550,7)</f>
        <v>0</v>
      </c>
      <c r="G10" s="7">
        <f>SUMIFS(Ausg._Liste!$H$4:$H$550,Ausg._Liste!$E$4:$E$550,600,Ausg._Liste!$G$4:$G$550,7)</f>
        <v>0</v>
      </c>
      <c r="H10" s="7">
        <f>SUMIFS(Ausg._Liste!$H$4:$H$550,Ausg._Liste!$E$4:$E$550,700,Ausg._Liste!$G$4:$G$550,7)</f>
        <v>0</v>
      </c>
      <c r="I10" s="7">
        <f>SUMIFS(Ausg._Liste!$H$4:$H$550,Ausg._Liste!$E$4:$E$550,800,Ausg._Liste!$G$4:$G$550,7)</f>
        <v>0</v>
      </c>
      <c r="J10" s="7">
        <f>SUMIFS(Ausg._Liste!$H$4:$H$550,Ausg._Liste!$E$4:$E$550,900,Ausg._Liste!$G$4:$G$550,7)</f>
        <v>0</v>
      </c>
      <c r="K10" s="7">
        <f>SUMIFS(Ausg._Liste!$H$4:$H$550,Ausg._Liste!$E$4:$E$550,1000,Ausg._Liste!$G$4:$G$550,7)</f>
        <v>0</v>
      </c>
      <c r="L10" s="7">
        <f>SUMIFS(Ausg._Liste!$H$4:$H$550,Ausg._Liste!$E$4:$E$550,1100,Ausg._Liste!$G$4:$G$550,7)</f>
        <v>0</v>
      </c>
      <c r="M10" s="7">
        <f>SUMIFS(Ausg._Liste!$H$4:$H$550,Ausg._Liste!$E$4:$E$550,1200,Ausg._Liste!$G$4:$G$550,7)</f>
        <v>0</v>
      </c>
      <c r="N10" s="7">
        <f>SUMIFS(Ausg._Liste!$H$4:$H$550,Ausg._Liste!$E$4:$E$550,1300,Ausg._Liste!$G$4:$G$550,7)</f>
        <v>0</v>
      </c>
      <c r="O10" s="7">
        <f>SUMIFS(Ausg._Liste!$H$4:$H$550,Ausg._Liste!$E$4:$E$550,1400,Ausg._Liste!$G$4:$G$550,7)</f>
        <v>0</v>
      </c>
      <c r="P10" s="7">
        <f>SUMIFS(Ausg._Liste!$H$4:$H$550,Ausg._Liste!$E$4:$E$550,1500,Ausg._Liste!$G$4:$G$550,7)</f>
        <v>0</v>
      </c>
      <c r="Q10" s="20">
        <f t="shared" si="0"/>
        <v>0</v>
      </c>
      <c r="R10" s="126">
        <f t="shared" si="1"/>
        <v>0</v>
      </c>
    </row>
    <row r="11" spans="1:18" x14ac:dyDescent="0.25">
      <c r="A11" s="2" t="s">
        <v>14</v>
      </c>
      <c r="B11" s="2">
        <f>SUMIF(Einn._Liste!$F$4:$F$1000,8,Einn._Liste!$G$4:$G$1000)</f>
        <v>0</v>
      </c>
      <c r="C11" s="7">
        <f>SUMIFS(Ausg._Liste!$H$4:$H$550,Ausg._Liste!$E$4:$E$550,200,Ausg._Liste!$G$4:$G$550,8)</f>
        <v>0</v>
      </c>
      <c r="D11" s="7">
        <f>SUMIFS(Ausg._Liste!$H$4:$H$550,Ausg._Liste!$E$4:$E$550,300,Ausg._Liste!$G$4:$G$550,8)</f>
        <v>0</v>
      </c>
      <c r="E11" s="7">
        <f>SUMIFS(Ausg._Liste!$H$4:$H$550,Ausg._Liste!$E$4:$E$550,400,Ausg._Liste!$G$4:$G$550,8)</f>
        <v>0</v>
      </c>
      <c r="F11" s="7">
        <f>SUMIFS(Ausg._Liste!$H$4:$H$550,Ausg._Liste!$E$4:$E$550,500,Ausg._Liste!$G$4:$G$550,8)</f>
        <v>0</v>
      </c>
      <c r="G11" s="7">
        <f>SUMIFS(Ausg._Liste!$H$4:$H$550,Ausg._Liste!$E$4:$E$550,600,Ausg._Liste!$G$4:$G$550,8)</f>
        <v>0</v>
      </c>
      <c r="H11" s="7">
        <f>SUMIFS(Ausg._Liste!$H$4:$H$550,Ausg._Liste!$E$4:$E$550,700,Ausg._Liste!$G$4:$G$550,8)</f>
        <v>0</v>
      </c>
      <c r="I11" s="7">
        <f>SUMIFS(Ausg._Liste!$H$4:$H$550,Ausg._Liste!$E$4:$E$550,800,Ausg._Liste!$G$4:$G$550,8)</f>
        <v>0</v>
      </c>
      <c r="J11" s="7">
        <f>SUMIFS(Ausg._Liste!$H$4:$H$550,Ausg._Liste!$E$4:$E$550,900,Ausg._Liste!$G$4:$G$550,8)</f>
        <v>0</v>
      </c>
      <c r="K11" s="7">
        <f>SUMIFS(Ausg._Liste!$H$4:$H$550,Ausg._Liste!$E$4:$E$550,1000,Ausg._Liste!$G$4:$G$550,8)</f>
        <v>0</v>
      </c>
      <c r="L11" s="7">
        <f>SUMIFS(Ausg._Liste!$H$4:$H$550,Ausg._Liste!$E$4:$E$550,1100,Ausg._Liste!$G$4:$G$550,8)</f>
        <v>0</v>
      </c>
      <c r="M11" s="7">
        <f>SUMIFS(Ausg._Liste!$H$4:$H$550,Ausg._Liste!$E$4:$E$550,1200,Ausg._Liste!$G$4:$G$550,8)</f>
        <v>0</v>
      </c>
      <c r="N11" s="7">
        <f>SUMIFS(Ausg._Liste!$H$4:$H$550,Ausg._Liste!$E$4:$E$550,1300,Ausg._Liste!$G$4:$G$550,8)</f>
        <v>0</v>
      </c>
      <c r="O11" s="7">
        <f>SUMIFS(Ausg._Liste!$H$4:$H$550,Ausg._Liste!$E$4:$E$550,1400,Ausg._Liste!$G$4:$G$550,8)</f>
        <v>0</v>
      </c>
      <c r="P11" s="7">
        <f>SUMIFS(Ausg._Liste!$H$4:$H$550,Ausg._Liste!$E$4:$E$550,1500,Ausg._Liste!$G$4:$G$550,8)</f>
        <v>0</v>
      </c>
      <c r="Q11" s="20">
        <f t="shared" si="0"/>
        <v>0</v>
      </c>
      <c r="R11" s="126">
        <f t="shared" si="1"/>
        <v>0</v>
      </c>
    </row>
    <row r="12" spans="1:18" x14ac:dyDescent="0.25">
      <c r="A12" s="2" t="s">
        <v>15</v>
      </c>
      <c r="B12" s="2">
        <f>SUMIF(Einn._Liste!$F$4:$F$1000,9,Einn._Liste!$G$4:$G$1000)</f>
        <v>0</v>
      </c>
      <c r="C12" s="7">
        <f>SUMIFS(Ausg._Liste!$H$4:$H$550,Ausg._Liste!$E$4:$E$550,200,Ausg._Liste!$G$4:$G$550,9)</f>
        <v>0</v>
      </c>
      <c r="D12" s="7">
        <f>SUMIFS(Ausg._Liste!$H$4:$H$550,Ausg._Liste!$E$4:$E$550,300,Ausg._Liste!$G$4:$G$550,9)</f>
        <v>0</v>
      </c>
      <c r="E12" s="7">
        <f>SUMIFS(Ausg._Liste!$H$4:$H$550,Ausg._Liste!$E$4:$E$550,400,Ausg._Liste!$G$4:$G$550,9)</f>
        <v>0</v>
      </c>
      <c r="F12" s="7">
        <f>SUMIFS(Ausg._Liste!$H$4:$H$550,Ausg._Liste!$E$4:$E$550,500,Ausg._Liste!$G$4:$G$550,9)</f>
        <v>0</v>
      </c>
      <c r="G12" s="7">
        <f>SUMIFS(Ausg._Liste!$H$4:$H$550,Ausg._Liste!$E$4:$E$550,600,Ausg._Liste!$G$4:$G$550,9)</f>
        <v>0</v>
      </c>
      <c r="H12" s="7">
        <f>SUMIFS(Ausg._Liste!$H$4:$H$550,Ausg._Liste!$E$4:$E$550,700,Ausg._Liste!$G$4:$G$550,9)</f>
        <v>0</v>
      </c>
      <c r="I12" s="7">
        <f>SUMIFS(Ausg._Liste!$H$4:$H$550,Ausg._Liste!$E$4:$E$550,800,Ausg._Liste!$G$4:$G$550,9)</f>
        <v>0</v>
      </c>
      <c r="J12" s="7">
        <f>SUMIFS(Ausg._Liste!$H$4:$H$550,Ausg._Liste!$E$4:$E$550,900,Ausg._Liste!$G$4:$G$550,9)</f>
        <v>0</v>
      </c>
      <c r="K12" s="7">
        <f>SUMIFS(Ausg._Liste!$H$4:$H$550,Ausg._Liste!$E$4:$E$550,1000,Ausg._Liste!$G$4:$G$550,9)</f>
        <v>0</v>
      </c>
      <c r="L12" s="7">
        <f>SUMIFS(Ausg._Liste!$H$4:$H$550,Ausg._Liste!$E$4:$E$550,1100,Ausg._Liste!$G$4:$G$550,9)</f>
        <v>0</v>
      </c>
      <c r="M12" s="7">
        <f>SUMIFS(Ausg._Liste!$H$4:$H$550,Ausg._Liste!$E$4:$E$550,1200,Ausg._Liste!$G$4:$G$550,9)</f>
        <v>0</v>
      </c>
      <c r="N12" s="7">
        <f>SUMIFS(Ausg._Liste!$H$4:$H$550,Ausg._Liste!$E$4:$E$550,1300,Ausg._Liste!$G$4:$G$550,9)</f>
        <v>0</v>
      </c>
      <c r="O12" s="7">
        <f>SUMIFS(Ausg._Liste!$H$4:$H$550,Ausg._Liste!$E$4:$E$550,1400,Ausg._Liste!$G$4:$G$550,9)</f>
        <v>0</v>
      </c>
      <c r="P12" s="7">
        <f>SUMIFS(Ausg._Liste!$H$4:$H$550,Ausg._Liste!$E$4:$E$550,1500,Ausg._Liste!$G$4:$G$550,9)</f>
        <v>0</v>
      </c>
      <c r="Q12" s="20">
        <f t="shared" si="0"/>
        <v>0</v>
      </c>
      <c r="R12" s="126">
        <f t="shared" si="1"/>
        <v>0</v>
      </c>
    </row>
    <row r="13" spans="1:18" x14ac:dyDescent="0.25">
      <c r="A13" s="2" t="s">
        <v>16</v>
      </c>
      <c r="B13" s="2">
        <f>SUMIF(Einn._Liste!$F$4:$F$1000,10,Einn._Liste!$G$4:$G$1000)</f>
        <v>0</v>
      </c>
      <c r="C13" s="7">
        <f>SUMIFS(Ausg._Liste!$H$4:$H$550,Ausg._Liste!$E$4:$E$550,200,Ausg._Liste!$G$4:$G$550,10)</f>
        <v>0</v>
      </c>
      <c r="D13" s="7">
        <f>SUMIFS(Ausg._Liste!$H$4:$H$550,Ausg._Liste!$E$4:$E$550,300,Ausg._Liste!$G$4:$G$550,10)</f>
        <v>0</v>
      </c>
      <c r="E13" s="7">
        <f>SUMIFS(Ausg._Liste!$H$4:$H$550,Ausg._Liste!$E$4:$E$550,400,Ausg._Liste!$G$4:$G$550,10)</f>
        <v>0</v>
      </c>
      <c r="F13" s="7">
        <f>SUMIFS(Ausg._Liste!$H$4:$H$550,Ausg._Liste!$E$4:$E$550,500,Ausg._Liste!$G$4:$G$550,10)</f>
        <v>0</v>
      </c>
      <c r="G13" s="7">
        <f>SUMIFS(Ausg._Liste!$H$4:$H$550,Ausg._Liste!$E$4:$E$550,600,Ausg._Liste!$G$4:$G$550,10)</f>
        <v>0</v>
      </c>
      <c r="H13" s="7">
        <f>SUMIFS(Ausg._Liste!$H$4:$H$550,Ausg._Liste!$E$4:$E$550,700,Ausg._Liste!$G$4:$G$550,10)</f>
        <v>0</v>
      </c>
      <c r="I13" s="7">
        <f>SUMIFS(Ausg._Liste!$H$4:$H$550,Ausg._Liste!$E$4:$E$550,800,Ausg._Liste!$G$4:$G$550,10)</f>
        <v>0</v>
      </c>
      <c r="J13" s="7">
        <f>SUMIFS(Ausg._Liste!$H$4:$H$550,Ausg._Liste!$E$4:$E$550,900,Ausg._Liste!$G$4:$G$550,10)</f>
        <v>0</v>
      </c>
      <c r="K13" s="7">
        <f>SUMIFS(Ausg._Liste!$H$4:$H$550,Ausg._Liste!$E$4:$E$550,1000,Ausg._Liste!$G$4:$G$550,10)</f>
        <v>0</v>
      </c>
      <c r="L13" s="7">
        <f>SUMIFS(Ausg._Liste!$H$4:$H$550,Ausg._Liste!$E$4:$E$550,1100,Ausg._Liste!$G$4:$G$550,10)</f>
        <v>0</v>
      </c>
      <c r="M13" s="7">
        <f>SUMIFS(Ausg._Liste!$H$4:$H$550,Ausg._Liste!$E$4:$E$550,1200,Ausg._Liste!$G$4:$G$550,10)</f>
        <v>0</v>
      </c>
      <c r="N13" s="7">
        <f>SUMIFS(Ausg._Liste!$H$4:$H$550,Ausg._Liste!$E$4:$E$550,1300,Ausg._Liste!$G$4:$G$550,10)</f>
        <v>0</v>
      </c>
      <c r="O13" s="7">
        <f>SUMIFS(Ausg._Liste!$H$4:$H$550,Ausg._Liste!$E$4:$E$550,1400,Ausg._Liste!$G$4:$G$550,10)</f>
        <v>0</v>
      </c>
      <c r="P13" s="7">
        <f>SUMIFS(Ausg._Liste!$H$4:$H$550,Ausg._Liste!$E$4:$E$550,1500,Ausg._Liste!$G$4:$G$550,10)</f>
        <v>0</v>
      </c>
      <c r="Q13" s="20">
        <f t="shared" si="0"/>
        <v>0</v>
      </c>
      <c r="R13" s="126">
        <f t="shared" si="1"/>
        <v>0</v>
      </c>
    </row>
    <row r="14" spans="1:18" x14ac:dyDescent="0.25">
      <c r="A14" s="2" t="s">
        <v>17</v>
      </c>
      <c r="B14" s="2">
        <f>SUMIF(Einn._Liste!$F$4:$F$1000,11,Einn._Liste!$G$4:$G$1000)</f>
        <v>0</v>
      </c>
      <c r="C14" s="7">
        <f>SUMIFS(Ausg._Liste!$H$4:$H$550,Ausg._Liste!$E$4:$E$550,200,Ausg._Liste!$G$4:$G$550,11)</f>
        <v>0</v>
      </c>
      <c r="D14" s="7">
        <f>SUMIFS(Ausg._Liste!$H$4:$H$550,Ausg._Liste!$E$4:$E$550,300,Ausg._Liste!$G$4:$G$550,11)</f>
        <v>0</v>
      </c>
      <c r="E14" s="7">
        <f>SUMIFS(Ausg._Liste!$H$4:$H$550,Ausg._Liste!$E$4:$E$550,400,Ausg._Liste!$G$4:$G$550,11)</f>
        <v>0</v>
      </c>
      <c r="F14" s="7">
        <f>SUMIFS(Ausg._Liste!$H$4:$H$550,Ausg._Liste!$E$4:$E$550,500,Ausg._Liste!$G$4:$G$550,11)</f>
        <v>0</v>
      </c>
      <c r="G14" s="7">
        <f>SUMIFS(Ausg._Liste!$H$4:$H$550,Ausg._Liste!$E$4:$E$550,600,Ausg._Liste!$G$4:$G$550,11)</f>
        <v>0</v>
      </c>
      <c r="H14" s="7">
        <f>SUMIFS(Ausg._Liste!$H$4:$H$550,Ausg._Liste!$E$4:$E$550,700,Ausg._Liste!$G$4:$G$550,11)</f>
        <v>0</v>
      </c>
      <c r="I14" s="7">
        <f>SUMIFS(Ausg._Liste!$H$4:$H$550,Ausg._Liste!$E$4:$E$550,800,Ausg._Liste!$G$4:$G$550,11)</f>
        <v>0</v>
      </c>
      <c r="J14" s="7">
        <f>SUMIFS(Ausg._Liste!$H$4:$H$550,Ausg._Liste!$E$4:$E$550,900,Ausg._Liste!$G$4:$G$550,11)</f>
        <v>0</v>
      </c>
      <c r="K14" s="7">
        <f>SUMIFS(Ausg._Liste!$H$4:$H$550,Ausg._Liste!$E$4:$E$550,1000,Ausg._Liste!$G$4:$G$550,11)</f>
        <v>0</v>
      </c>
      <c r="L14" s="7">
        <f>SUMIFS(Ausg._Liste!$H$4:$H$550,Ausg._Liste!$E$4:$E$550,1100,Ausg._Liste!$G$4:$G$550,11)</f>
        <v>0</v>
      </c>
      <c r="M14" s="7">
        <f>SUMIFS(Ausg._Liste!$H$4:$H$550,Ausg._Liste!$E$4:$E$550,1200,Ausg._Liste!$G$4:$G$550,11)</f>
        <v>0</v>
      </c>
      <c r="N14" s="7">
        <f>SUMIFS(Ausg._Liste!$H$4:$H$550,Ausg._Liste!$E$4:$E$550,1300,Ausg._Liste!$G$4:$G$550,11)</f>
        <v>0</v>
      </c>
      <c r="O14" s="7">
        <f>SUMIFS(Ausg._Liste!$H$4:$H$550,Ausg._Liste!$E$4:$E$550,1400,Ausg._Liste!$G$4:$G$550,11)</f>
        <v>0</v>
      </c>
      <c r="P14" s="7">
        <f>SUMIFS(Ausg._Liste!$H$4:$H$550,Ausg._Liste!$E$4:$E$550,1500,Ausg._Liste!$G$4:$G$550,11)</f>
        <v>0</v>
      </c>
      <c r="Q14" s="20">
        <f t="shared" si="0"/>
        <v>0</v>
      </c>
      <c r="R14" s="126">
        <f t="shared" si="1"/>
        <v>0</v>
      </c>
    </row>
    <row r="15" spans="1:18" x14ac:dyDescent="0.25">
      <c r="A15" s="2" t="s">
        <v>18</v>
      </c>
      <c r="B15" s="2">
        <f>SUMIF(Einn._Liste!$F$4:$F$1000,12,Einn._Liste!$G$4:$G$1000)</f>
        <v>0</v>
      </c>
      <c r="C15" s="7">
        <f>SUMIFS(Ausg._Liste!$H$4:$H$550,Ausg._Liste!$E$4:$E$550,200,Ausg._Liste!$G$4:$G$550,12)</f>
        <v>0</v>
      </c>
      <c r="D15" s="7">
        <f>SUMIFS(Ausg._Liste!$H$4:$H$550,Ausg._Liste!$E$4:$E$550,300,Ausg._Liste!$G$4:$G$550,12)</f>
        <v>0</v>
      </c>
      <c r="E15" s="7">
        <f>SUMIFS(Ausg._Liste!$H$4:$H$550,Ausg._Liste!$E$4:$E$550,400,Ausg._Liste!$G$4:$G$550,12)</f>
        <v>0</v>
      </c>
      <c r="F15" s="7">
        <f>SUMIFS(Ausg._Liste!$H$4:$H$550,Ausg._Liste!$E$4:$E$550,500,Ausg._Liste!$G$4:$G$550,12)</f>
        <v>0</v>
      </c>
      <c r="G15" s="7">
        <f>SUMIFS(Ausg._Liste!$H$4:$H$550,Ausg._Liste!$E$4:$E$550,600,Ausg._Liste!$G$4:$G$550,12)</f>
        <v>0</v>
      </c>
      <c r="H15" s="7">
        <f>SUMIFS(Ausg._Liste!$H$4:$H$550,Ausg._Liste!$E$4:$E$550,700,Ausg._Liste!$G$4:$G$550,12)</f>
        <v>0</v>
      </c>
      <c r="I15" s="7">
        <f>SUMIFS(Ausg._Liste!$H$4:$H$550,Ausg._Liste!$E$4:$E$550,800,Ausg._Liste!$G$4:$G$550,12)</f>
        <v>0</v>
      </c>
      <c r="J15" s="7">
        <f>SUMIFS(Ausg._Liste!$H$4:$H$550,Ausg._Liste!$E$4:$E$550,900,Ausg._Liste!$G$4:$G$550,12)</f>
        <v>0</v>
      </c>
      <c r="K15" s="7">
        <f>SUMIFS(Ausg._Liste!$H$4:$H$550,Ausg._Liste!$E$4:$E$550,1000,Ausg._Liste!$G$4:$G$550,12)</f>
        <v>0</v>
      </c>
      <c r="L15" s="7">
        <f>SUMIFS(Ausg._Liste!$H$4:$H$550,Ausg._Liste!$E$4:$E$550,1100,Ausg._Liste!$G$4:$G$550,12)</f>
        <v>0</v>
      </c>
      <c r="M15" s="7">
        <f>SUMIFS(Ausg._Liste!$H$4:$H$550,Ausg._Liste!$E$4:$E$550,1200,Ausg._Liste!$G$4:$G$550,12)</f>
        <v>0</v>
      </c>
      <c r="N15" s="7">
        <f>SUMIFS(Ausg._Liste!$H$4:$H$550,Ausg._Liste!$E$4:$E$550,1300,Ausg._Liste!$G$4:$G$550,12)</f>
        <v>0</v>
      </c>
      <c r="O15" s="7">
        <f>SUMIFS(Ausg._Liste!$H$4:$H$550,Ausg._Liste!$E$4:$E$550,1400,Ausg._Liste!$G$4:$G$550,12)</f>
        <v>0</v>
      </c>
      <c r="P15" s="7">
        <f>SUMIFS(Ausg._Liste!$H$4:$H$550,Ausg._Liste!$E$4:$E$550,1500,Ausg._Liste!$G$4:$G$550,12)</f>
        <v>0</v>
      </c>
      <c r="Q15" s="20">
        <f t="shared" si="0"/>
        <v>0</v>
      </c>
      <c r="R15" s="126">
        <f t="shared" si="1"/>
        <v>0</v>
      </c>
    </row>
    <row r="16" spans="1:18" ht="15.75" x14ac:dyDescent="0.25">
      <c r="A16" s="39" t="s">
        <v>2</v>
      </c>
      <c r="B16" s="40">
        <f>SUM(B4:B15)</f>
        <v>0</v>
      </c>
      <c r="C16" s="40">
        <f>SUM(C4:C15)</f>
        <v>0</v>
      </c>
      <c r="D16" s="40">
        <f t="shared" ref="D16:O16" si="2">SUM(D4:D15)</f>
        <v>0</v>
      </c>
      <c r="E16" s="40">
        <f t="shared" si="2"/>
        <v>0</v>
      </c>
      <c r="F16" s="40">
        <f t="shared" si="2"/>
        <v>0</v>
      </c>
      <c r="G16" s="40">
        <f t="shared" si="2"/>
        <v>0</v>
      </c>
      <c r="H16" s="40">
        <f t="shared" si="2"/>
        <v>0</v>
      </c>
      <c r="I16" s="40">
        <f t="shared" si="2"/>
        <v>0</v>
      </c>
      <c r="J16" s="40">
        <f t="shared" si="2"/>
        <v>0</v>
      </c>
      <c r="K16" s="40">
        <f t="shared" si="2"/>
        <v>0</v>
      </c>
      <c r="L16" s="40">
        <f t="shared" si="2"/>
        <v>0</v>
      </c>
      <c r="M16" s="40">
        <f t="shared" si="2"/>
        <v>0</v>
      </c>
      <c r="N16" s="40">
        <f t="shared" si="2"/>
        <v>0</v>
      </c>
      <c r="O16" s="40">
        <f t="shared" si="2"/>
        <v>0</v>
      </c>
      <c r="P16" s="40"/>
      <c r="Q16" s="41">
        <f>SUM(Q4:Q15)</f>
        <v>0</v>
      </c>
      <c r="R16" s="42">
        <f>SUM(R4:R15)</f>
        <v>0</v>
      </c>
    </row>
    <row r="17" spans="3:17" x14ac:dyDescent="0.25"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2"/>
    </row>
    <row r="18" spans="3:17" x14ac:dyDescent="0.25"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2"/>
    </row>
    <row r="19" spans="3:17" x14ac:dyDescent="0.25"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</row>
    <row r="20" spans="3:17" x14ac:dyDescent="0.25"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</row>
    <row r="21" spans="3:17" x14ac:dyDescent="0.25"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</row>
    <row r="22" spans="3:17" x14ac:dyDescent="0.25"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</row>
    <row r="23" spans="3:17" x14ac:dyDescent="0.25"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</row>
    <row r="24" spans="3:17" x14ac:dyDescent="0.25"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</row>
    <row r="25" spans="3:17" x14ac:dyDescent="0.25"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</row>
    <row r="26" spans="3:17" x14ac:dyDescent="0.25"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</row>
    <row r="27" spans="3:17" x14ac:dyDescent="0.25"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</row>
    <row r="28" spans="3:17" x14ac:dyDescent="0.25"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</row>
    <row r="29" spans="3:17" x14ac:dyDescent="0.25"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</row>
    <row r="30" spans="3:17" x14ac:dyDescent="0.25"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</row>
    <row r="31" spans="3:17" x14ac:dyDescent="0.25"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</row>
    <row r="32" spans="3:17" x14ac:dyDescent="0.25"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</row>
    <row r="33" spans="3:17" x14ac:dyDescent="0.25"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</row>
    <row r="34" spans="3:17" x14ac:dyDescent="0.25"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</row>
    <row r="35" spans="3:17" x14ac:dyDescent="0.25"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</row>
    <row r="36" spans="3:17" x14ac:dyDescent="0.25"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</row>
    <row r="37" spans="3:17" x14ac:dyDescent="0.25"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</row>
    <row r="38" spans="3:17" x14ac:dyDescent="0.25"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</row>
    <row r="39" spans="3:17" x14ac:dyDescent="0.25"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</row>
    <row r="40" spans="3:17" x14ac:dyDescent="0.25"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</row>
    <row r="41" spans="3:17" x14ac:dyDescent="0.25"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</row>
    <row r="42" spans="3:17" x14ac:dyDescent="0.25"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</row>
    <row r="43" spans="3:17" x14ac:dyDescent="0.25"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</row>
    <row r="44" spans="3:17" x14ac:dyDescent="0.25"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</row>
    <row r="45" spans="3:17" x14ac:dyDescent="0.25"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</row>
    <row r="46" spans="3:17" x14ac:dyDescent="0.25"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</row>
    <row r="47" spans="3:17" x14ac:dyDescent="0.25"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</row>
    <row r="48" spans="3:17" x14ac:dyDescent="0.25"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</row>
    <row r="49" spans="3:17" x14ac:dyDescent="0.25"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</row>
    <row r="50" spans="3:17" x14ac:dyDescent="0.25"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</row>
    <row r="51" spans="3:17" x14ac:dyDescent="0.25"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</row>
    <row r="52" spans="3:17" x14ac:dyDescent="0.25"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</row>
    <row r="53" spans="3:17" x14ac:dyDescent="0.25"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</row>
    <row r="54" spans="3:17" x14ac:dyDescent="0.25"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</row>
    <row r="55" spans="3:17" x14ac:dyDescent="0.25"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</row>
    <row r="56" spans="3:17" x14ac:dyDescent="0.25"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</row>
    <row r="57" spans="3:17" x14ac:dyDescent="0.25"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</row>
    <row r="58" spans="3:17" x14ac:dyDescent="0.25"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</row>
    <row r="59" spans="3:17" x14ac:dyDescent="0.25"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</row>
    <row r="60" spans="3:17" x14ac:dyDescent="0.25"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</row>
    <row r="61" spans="3:17" x14ac:dyDescent="0.25"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</row>
    <row r="62" spans="3:17" x14ac:dyDescent="0.25"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</row>
    <row r="63" spans="3:17" x14ac:dyDescent="0.25"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</row>
    <row r="64" spans="3:17" x14ac:dyDescent="0.25"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</row>
    <row r="65" spans="3:17" x14ac:dyDescent="0.25"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</row>
    <row r="66" spans="3:17" x14ac:dyDescent="0.25"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</row>
    <row r="67" spans="3:17" x14ac:dyDescent="0.25"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</row>
    <row r="68" spans="3:17" x14ac:dyDescent="0.25"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</row>
    <row r="69" spans="3:17" x14ac:dyDescent="0.25"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</row>
    <row r="70" spans="3:17" x14ac:dyDescent="0.25"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</row>
    <row r="71" spans="3:17" x14ac:dyDescent="0.25"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</row>
    <row r="72" spans="3:17" x14ac:dyDescent="0.25"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</row>
    <row r="73" spans="3:17" x14ac:dyDescent="0.25"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</row>
    <row r="74" spans="3:17" x14ac:dyDescent="0.25"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</row>
    <row r="75" spans="3:17" x14ac:dyDescent="0.25"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</row>
    <row r="76" spans="3:17" x14ac:dyDescent="0.25"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</row>
    <row r="77" spans="3:17" x14ac:dyDescent="0.25"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</row>
    <row r="78" spans="3:17" x14ac:dyDescent="0.25"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</row>
    <row r="79" spans="3:17" x14ac:dyDescent="0.25"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</row>
    <row r="80" spans="3:17" x14ac:dyDescent="0.25"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</row>
    <row r="81" spans="3:17" x14ac:dyDescent="0.25"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</row>
    <row r="82" spans="3:17" x14ac:dyDescent="0.25"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</row>
    <row r="83" spans="3:17" x14ac:dyDescent="0.25"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</row>
    <row r="84" spans="3:17" x14ac:dyDescent="0.25"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</row>
    <row r="85" spans="3:17" x14ac:dyDescent="0.25"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</row>
    <row r="86" spans="3:17" x14ac:dyDescent="0.25"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</row>
    <row r="87" spans="3:17" x14ac:dyDescent="0.25"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</row>
    <row r="88" spans="3:17" x14ac:dyDescent="0.25"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</row>
    <row r="89" spans="3:17" x14ac:dyDescent="0.25"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</row>
    <row r="90" spans="3:17" x14ac:dyDescent="0.25"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</row>
    <row r="91" spans="3:17" x14ac:dyDescent="0.25"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</row>
    <row r="92" spans="3:17" x14ac:dyDescent="0.25"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</row>
    <row r="93" spans="3:17" x14ac:dyDescent="0.25"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</row>
    <row r="94" spans="3:17" x14ac:dyDescent="0.25"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</row>
    <row r="95" spans="3:17" x14ac:dyDescent="0.25"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</row>
    <row r="96" spans="3:17" x14ac:dyDescent="0.25"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</row>
    <row r="97" spans="3:17" x14ac:dyDescent="0.25"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</row>
    <row r="98" spans="3:17" x14ac:dyDescent="0.25"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</row>
    <row r="99" spans="3:17" x14ac:dyDescent="0.25"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</row>
    <row r="100" spans="3:17" x14ac:dyDescent="0.25"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</row>
    <row r="101" spans="3:17" x14ac:dyDescent="0.25"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</row>
    <row r="102" spans="3:17" x14ac:dyDescent="0.25"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</row>
    <row r="103" spans="3:17" x14ac:dyDescent="0.25"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</row>
    <row r="104" spans="3:17" x14ac:dyDescent="0.25"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</row>
    <row r="105" spans="3:17" x14ac:dyDescent="0.25"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</row>
    <row r="106" spans="3:17" x14ac:dyDescent="0.25"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</row>
    <row r="107" spans="3:17" x14ac:dyDescent="0.25"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</row>
    <row r="108" spans="3:17" x14ac:dyDescent="0.25"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</row>
    <row r="109" spans="3:17" x14ac:dyDescent="0.25"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</row>
    <row r="110" spans="3:17" x14ac:dyDescent="0.25"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</row>
    <row r="111" spans="3:17" x14ac:dyDescent="0.25"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</row>
    <row r="112" spans="3:17" x14ac:dyDescent="0.25"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</row>
    <row r="113" spans="3:17" x14ac:dyDescent="0.25"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</row>
    <row r="114" spans="3:17" x14ac:dyDescent="0.25"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</row>
    <row r="115" spans="3:17" x14ac:dyDescent="0.25"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</row>
    <row r="116" spans="3:17" x14ac:dyDescent="0.25"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</row>
    <row r="117" spans="3:17" x14ac:dyDescent="0.25"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</row>
    <row r="118" spans="3:17" x14ac:dyDescent="0.25"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</row>
    <row r="119" spans="3:17" x14ac:dyDescent="0.25"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</row>
    <row r="120" spans="3:17" x14ac:dyDescent="0.25"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</row>
    <row r="121" spans="3:17" x14ac:dyDescent="0.25"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</row>
    <row r="122" spans="3:17" x14ac:dyDescent="0.25"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</row>
    <row r="123" spans="3:17" x14ac:dyDescent="0.25"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</row>
    <row r="124" spans="3:17" x14ac:dyDescent="0.25"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</row>
    <row r="125" spans="3:17" x14ac:dyDescent="0.25"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</row>
    <row r="126" spans="3:17" x14ac:dyDescent="0.25"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</row>
    <row r="127" spans="3:17" x14ac:dyDescent="0.25"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</row>
    <row r="128" spans="3:17" x14ac:dyDescent="0.25"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</row>
    <row r="129" spans="3:17" x14ac:dyDescent="0.25"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</row>
    <row r="130" spans="3:17" x14ac:dyDescent="0.25"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</row>
    <row r="131" spans="3:17" x14ac:dyDescent="0.25"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</row>
    <row r="132" spans="3:17" x14ac:dyDescent="0.25"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</row>
    <row r="133" spans="3:17" x14ac:dyDescent="0.25"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</row>
    <row r="134" spans="3:17" x14ac:dyDescent="0.25"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</row>
    <row r="135" spans="3:17" x14ac:dyDescent="0.25"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</row>
    <row r="136" spans="3:17" x14ac:dyDescent="0.25"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</row>
    <row r="137" spans="3:17" x14ac:dyDescent="0.25"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</row>
    <row r="138" spans="3:17" x14ac:dyDescent="0.25"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</row>
    <row r="139" spans="3:17" x14ac:dyDescent="0.25"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</row>
    <row r="140" spans="3:17" x14ac:dyDescent="0.25"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</row>
    <row r="141" spans="3:17" x14ac:dyDescent="0.25"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</row>
    <row r="142" spans="3:17" x14ac:dyDescent="0.25"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</row>
    <row r="143" spans="3:17" x14ac:dyDescent="0.25"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</row>
    <row r="144" spans="3:17" x14ac:dyDescent="0.25"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</row>
    <row r="145" spans="3:17" x14ac:dyDescent="0.25"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</row>
    <row r="146" spans="3:17" x14ac:dyDescent="0.25"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</row>
    <row r="147" spans="3:17" x14ac:dyDescent="0.25"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</row>
    <row r="148" spans="3:17" x14ac:dyDescent="0.25"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</row>
    <row r="149" spans="3:17" x14ac:dyDescent="0.25"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</row>
    <row r="150" spans="3:17" x14ac:dyDescent="0.25"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</row>
    <row r="151" spans="3:17" x14ac:dyDescent="0.25"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</row>
    <row r="152" spans="3:17" x14ac:dyDescent="0.25"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</row>
    <row r="153" spans="3:17" x14ac:dyDescent="0.25"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</row>
    <row r="154" spans="3:17" x14ac:dyDescent="0.25"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</row>
    <row r="155" spans="3:17" x14ac:dyDescent="0.25"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</row>
    <row r="156" spans="3:17" x14ac:dyDescent="0.25"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</row>
    <row r="157" spans="3:17" x14ac:dyDescent="0.25"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</row>
    <row r="158" spans="3:17" x14ac:dyDescent="0.25"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</row>
    <row r="159" spans="3:17" x14ac:dyDescent="0.25"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</row>
    <row r="160" spans="3:17" x14ac:dyDescent="0.25"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</row>
    <row r="161" spans="3:17" x14ac:dyDescent="0.25"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</row>
    <row r="162" spans="3:17" x14ac:dyDescent="0.25"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</row>
    <row r="163" spans="3:17" x14ac:dyDescent="0.25"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</row>
    <row r="164" spans="3:17" x14ac:dyDescent="0.25"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</row>
    <row r="165" spans="3:17" x14ac:dyDescent="0.25"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</row>
    <row r="166" spans="3:17" x14ac:dyDescent="0.25"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</row>
    <row r="167" spans="3:17" x14ac:dyDescent="0.25"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</row>
    <row r="168" spans="3:17" x14ac:dyDescent="0.25"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</row>
    <row r="169" spans="3:17" x14ac:dyDescent="0.25"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</row>
    <row r="170" spans="3:17" x14ac:dyDescent="0.25"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</row>
    <row r="171" spans="3:17" x14ac:dyDescent="0.25"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</row>
    <row r="172" spans="3:17" x14ac:dyDescent="0.25"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</row>
    <row r="173" spans="3:17" x14ac:dyDescent="0.25"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</row>
    <row r="174" spans="3:17" x14ac:dyDescent="0.25"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</row>
    <row r="175" spans="3:17" x14ac:dyDescent="0.25"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</row>
    <row r="176" spans="3:17" x14ac:dyDescent="0.25"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</row>
    <row r="177" spans="3:17" x14ac:dyDescent="0.25"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</row>
    <row r="178" spans="3:17" x14ac:dyDescent="0.25"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</row>
    <row r="179" spans="3:17" x14ac:dyDescent="0.25"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</row>
    <row r="180" spans="3:17" x14ac:dyDescent="0.25"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</row>
    <row r="181" spans="3:17" x14ac:dyDescent="0.25"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</row>
    <row r="182" spans="3:17" x14ac:dyDescent="0.25"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</row>
    <row r="183" spans="3:17" x14ac:dyDescent="0.25"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</row>
    <row r="184" spans="3:17" x14ac:dyDescent="0.25"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</row>
    <row r="185" spans="3:17" x14ac:dyDescent="0.25"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</row>
    <row r="186" spans="3:17" x14ac:dyDescent="0.25"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</row>
    <row r="187" spans="3:17" x14ac:dyDescent="0.25"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</row>
    <row r="188" spans="3:17" x14ac:dyDescent="0.25"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</row>
    <row r="189" spans="3:17" x14ac:dyDescent="0.25"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</row>
    <row r="190" spans="3:17" x14ac:dyDescent="0.25"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</row>
    <row r="191" spans="3:17" x14ac:dyDescent="0.25"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</row>
    <row r="192" spans="3:17" x14ac:dyDescent="0.25"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</row>
    <row r="193" spans="3:17" x14ac:dyDescent="0.25"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</row>
    <row r="194" spans="3:17" x14ac:dyDescent="0.25"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</row>
    <row r="195" spans="3:17" x14ac:dyDescent="0.25"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</row>
    <row r="196" spans="3:17" x14ac:dyDescent="0.25"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</row>
    <row r="197" spans="3:17" x14ac:dyDescent="0.25"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</row>
    <row r="198" spans="3:17" x14ac:dyDescent="0.25"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</row>
    <row r="199" spans="3:17" x14ac:dyDescent="0.25"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</row>
    <row r="200" spans="3:17" x14ac:dyDescent="0.25"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</row>
    <row r="201" spans="3:17" x14ac:dyDescent="0.25"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</row>
    <row r="202" spans="3:17" x14ac:dyDescent="0.25"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</row>
    <row r="203" spans="3:17" x14ac:dyDescent="0.25"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</row>
    <row r="204" spans="3:17" x14ac:dyDescent="0.25"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</row>
    <row r="205" spans="3:17" x14ac:dyDescent="0.25"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</row>
    <row r="206" spans="3:17" x14ac:dyDescent="0.25"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</row>
    <row r="207" spans="3:17" x14ac:dyDescent="0.25"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</row>
    <row r="208" spans="3:17" x14ac:dyDescent="0.25"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</row>
    <row r="209" spans="3:17" x14ac:dyDescent="0.25"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</row>
    <row r="210" spans="3:17" x14ac:dyDescent="0.25"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</row>
    <row r="211" spans="3:17" x14ac:dyDescent="0.25"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</row>
    <row r="212" spans="3:17" x14ac:dyDescent="0.25"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</row>
    <row r="213" spans="3:17" x14ac:dyDescent="0.25"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</row>
    <row r="214" spans="3:17" x14ac:dyDescent="0.25"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</row>
    <row r="215" spans="3:17" x14ac:dyDescent="0.25"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</row>
    <row r="216" spans="3:17" x14ac:dyDescent="0.25"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</row>
    <row r="217" spans="3:17" x14ac:dyDescent="0.25"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</row>
    <row r="218" spans="3:17" x14ac:dyDescent="0.25"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</row>
    <row r="219" spans="3:17" x14ac:dyDescent="0.25"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</row>
    <row r="220" spans="3:17" x14ac:dyDescent="0.25"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</row>
    <row r="221" spans="3:17" x14ac:dyDescent="0.25"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</row>
    <row r="222" spans="3:17" x14ac:dyDescent="0.25"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</row>
    <row r="223" spans="3:17" x14ac:dyDescent="0.25"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</row>
    <row r="224" spans="3:17" x14ac:dyDescent="0.25"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</row>
    <row r="225" spans="3:17" x14ac:dyDescent="0.25"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</row>
    <row r="226" spans="3:17" x14ac:dyDescent="0.25"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</row>
    <row r="227" spans="3:17" x14ac:dyDescent="0.25"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</row>
    <row r="228" spans="3:17" x14ac:dyDescent="0.25"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</row>
    <row r="229" spans="3:17" x14ac:dyDescent="0.25"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</row>
    <row r="230" spans="3:17" x14ac:dyDescent="0.25"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</row>
    <row r="231" spans="3:17" x14ac:dyDescent="0.25"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</row>
    <row r="232" spans="3:17" x14ac:dyDescent="0.25"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</row>
    <row r="233" spans="3:17" x14ac:dyDescent="0.25"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</row>
    <row r="234" spans="3:17" x14ac:dyDescent="0.25"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</row>
    <row r="235" spans="3:17" x14ac:dyDescent="0.25"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</row>
    <row r="236" spans="3:17" x14ac:dyDescent="0.25"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</row>
    <row r="237" spans="3:17" x14ac:dyDescent="0.25"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</row>
    <row r="238" spans="3:17" x14ac:dyDescent="0.25"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</row>
    <row r="239" spans="3:17" x14ac:dyDescent="0.25"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</row>
    <row r="240" spans="3:17" x14ac:dyDescent="0.25"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</row>
    <row r="241" spans="3:17" x14ac:dyDescent="0.25"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</row>
    <row r="242" spans="3:17" x14ac:dyDescent="0.25"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</row>
    <row r="243" spans="3:17" x14ac:dyDescent="0.25"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</row>
    <row r="244" spans="3:17" x14ac:dyDescent="0.25"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</row>
    <row r="245" spans="3:17" x14ac:dyDescent="0.25"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</row>
    <row r="246" spans="3:17" x14ac:dyDescent="0.25"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</row>
    <row r="247" spans="3:17" x14ac:dyDescent="0.25"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</row>
    <row r="248" spans="3:17" x14ac:dyDescent="0.25"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</row>
    <row r="249" spans="3:17" x14ac:dyDescent="0.25"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</row>
    <row r="250" spans="3:17" x14ac:dyDescent="0.25"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</row>
    <row r="251" spans="3:17" x14ac:dyDescent="0.25"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</row>
    <row r="252" spans="3:17" x14ac:dyDescent="0.25"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</row>
    <row r="253" spans="3:17" x14ac:dyDescent="0.25"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</row>
    <row r="254" spans="3:17" x14ac:dyDescent="0.25"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</row>
    <row r="255" spans="3:17" x14ac:dyDescent="0.25"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</row>
    <row r="256" spans="3:17" x14ac:dyDescent="0.25"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</row>
    <row r="257" spans="3:17" x14ac:dyDescent="0.25"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</row>
    <row r="258" spans="3:17" x14ac:dyDescent="0.25"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</row>
    <row r="259" spans="3:17" x14ac:dyDescent="0.25"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</row>
    <row r="260" spans="3:17" x14ac:dyDescent="0.25"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</row>
    <row r="261" spans="3:17" x14ac:dyDescent="0.25"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</row>
    <row r="262" spans="3:17" x14ac:dyDescent="0.25"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</row>
    <row r="263" spans="3:17" x14ac:dyDescent="0.25"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</row>
    <row r="264" spans="3:17" x14ac:dyDescent="0.25"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</row>
    <row r="265" spans="3:17" x14ac:dyDescent="0.25"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</row>
    <row r="266" spans="3:17" x14ac:dyDescent="0.25"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</row>
    <row r="267" spans="3:17" x14ac:dyDescent="0.25"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</row>
    <row r="268" spans="3:17" x14ac:dyDescent="0.25"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</row>
    <row r="269" spans="3:17" x14ac:dyDescent="0.25"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</row>
    <row r="270" spans="3:17" x14ac:dyDescent="0.25"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</row>
    <row r="271" spans="3:17" x14ac:dyDescent="0.25"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</row>
    <row r="272" spans="3:17" x14ac:dyDescent="0.25"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</row>
    <row r="273" spans="3:17" x14ac:dyDescent="0.25"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</row>
    <row r="274" spans="3:17" x14ac:dyDescent="0.25"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</row>
    <row r="275" spans="3:17" x14ac:dyDescent="0.25"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</row>
    <row r="276" spans="3:17" x14ac:dyDescent="0.25"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</row>
    <row r="277" spans="3:17" x14ac:dyDescent="0.25"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</row>
    <row r="278" spans="3:17" x14ac:dyDescent="0.25"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</row>
    <row r="279" spans="3:17" x14ac:dyDescent="0.25"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</row>
    <row r="280" spans="3:17" x14ac:dyDescent="0.25"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</row>
    <row r="281" spans="3:17" x14ac:dyDescent="0.25"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</row>
    <row r="282" spans="3:17" x14ac:dyDescent="0.25"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</row>
    <row r="283" spans="3:17" x14ac:dyDescent="0.25"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</row>
    <row r="284" spans="3:17" x14ac:dyDescent="0.25"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</row>
    <row r="285" spans="3:17" x14ac:dyDescent="0.25"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</row>
    <row r="286" spans="3:17" x14ac:dyDescent="0.25"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</row>
    <row r="287" spans="3:17" x14ac:dyDescent="0.25"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</row>
    <row r="288" spans="3:17" x14ac:dyDescent="0.25"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</row>
    <row r="289" spans="3:17" x14ac:dyDescent="0.25"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</row>
    <row r="290" spans="3:17" x14ac:dyDescent="0.25"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</row>
    <row r="291" spans="3:17" x14ac:dyDescent="0.25"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</row>
    <row r="292" spans="3:17" x14ac:dyDescent="0.25"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</row>
    <row r="293" spans="3:17" x14ac:dyDescent="0.25"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</row>
    <row r="294" spans="3:17" x14ac:dyDescent="0.25"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</row>
    <row r="295" spans="3:17" x14ac:dyDescent="0.25"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</row>
    <row r="296" spans="3:17" x14ac:dyDescent="0.25"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</row>
    <row r="297" spans="3:17" x14ac:dyDescent="0.25"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</row>
    <row r="298" spans="3:17" x14ac:dyDescent="0.25"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</row>
    <row r="299" spans="3:17" x14ac:dyDescent="0.25"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</row>
    <row r="300" spans="3:17" x14ac:dyDescent="0.25"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</row>
    <row r="301" spans="3:17" x14ac:dyDescent="0.25"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</row>
    <row r="302" spans="3:17" x14ac:dyDescent="0.25"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</row>
    <row r="303" spans="3:17" x14ac:dyDescent="0.25"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</row>
    <row r="304" spans="3:17" x14ac:dyDescent="0.25"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</row>
    <row r="305" spans="3:17" x14ac:dyDescent="0.25"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</row>
    <row r="306" spans="3:17" x14ac:dyDescent="0.25"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</row>
    <row r="307" spans="3:17" x14ac:dyDescent="0.25"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</row>
    <row r="308" spans="3:17" x14ac:dyDescent="0.25"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</row>
    <row r="309" spans="3:17" x14ac:dyDescent="0.25"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</row>
    <row r="310" spans="3:17" x14ac:dyDescent="0.25"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</row>
    <row r="311" spans="3:17" x14ac:dyDescent="0.25"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</row>
    <row r="312" spans="3:17" x14ac:dyDescent="0.25"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</row>
    <row r="313" spans="3:17" x14ac:dyDescent="0.25"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</row>
    <row r="314" spans="3:17" x14ac:dyDescent="0.25"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</row>
    <row r="315" spans="3:17" x14ac:dyDescent="0.25"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</row>
    <row r="316" spans="3:17" x14ac:dyDescent="0.25"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</row>
    <row r="317" spans="3:17" x14ac:dyDescent="0.25"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</row>
    <row r="318" spans="3:17" x14ac:dyDescent="0.25"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</row>
    <row r="319" spans="3:17" x14ac:dyDescent="0.25"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</row>
    <row r="320" spans="3:17" x14ac:dyDescent="0.25"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</row>
    <row r="321" spans="3:17" x14ac:dyDescent="0.25"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</row>
    <row r="322" spans="3:17" x14ac:dyDescent="0.25"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</row>
    <row r="323" spans="3:17" x14ac:dyDescent="0.25"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</row>
    <row r="324" spans="3:17" x14ac:dyDescent="0.25"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</row>
    <row r="325" spans="3:17" x14ac:dyDescent="0.25"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</row>
    <row r="326" spans="3:17" x14ac:dyDescent="0.25"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</row>
    <row r="327" spans="3:17" x14ac:dyDescent="0.25"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</row>
    <row r="328" spans="3:17" x14ac:dyDescent="0.25"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</row>
    <row r="329" spans="3:17" x14ac:dyDescent="0.25"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</row>
    <row r="330" spans="3:17" x14ac:dyDescent="0.25"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</row>
    <row r="331" spans="3:17" x14ac:dyDescent="0.25"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</row>
    <row r="332" spans="3:17" x14ac:dyDescent="0.25"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</row>
    <row r="333" spans="3:17" x14ac:dyDescent="0.25"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</row>
    <row r="334" spans="3:17" x14ac:dyDescent="0.25"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</row>
    <row r="335" spans="3:17" x14ac:dyDescent="0.25"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</row>
    <row r="336" spans="3:17" x14ac:dyDescent="0.25"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</row>
    <row r="337" spans="3:17" x14ac:dyDescent="0.25"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</row>
    <row r="338" spans="3:17" x14ac:dyDescent="0.25"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</row>
    <row r="339" spans="3:17" x14ac:dyDescent="0.25"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</row>
    <row r="340" spans="3:17" x14ac:dyDescent="0.25"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</row>
    <row r="341" spans="3:17" x14ac:dyDescent="0.25"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</row>
    <row r="342" spans="3:17" x14ac:dyDescent="0.25"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</row>
    <row r="343" spans="3:17" x14ac:dyDescent="0.25"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</row>
    <row r="344" spans="3:17" x14ac:dyDescent="0.25"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</row>
    <row r="345" spans="3:17" x14ac:dyDescent="0.25"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</row>
    <row r="346" spans="3:17" x14ac:dyDescent="0.25"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</row>
    <row r="347" spans="3:17" x14ac:dyDescent="0.25"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</row>
    <row r="348" spans="3:17" x14ac:dyDescent="0.25"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</row>
    <row r="349" spans="3:17" x14ac:dyDescent="0.25"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</row>
    <row r="350" spans="3:17" x14ac:dyDescent="0.25"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</row>
    <row r="351" spans="3:17" x14ac:dyDescent="0.25"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</row>
    <row r="352" spans="3:17" x14ac:dyDescent="0.25"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</row>
    <row r="353" spans="3:17" x14ac:dyDescent="0.25"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</row>
    <row r="354" spans="3:17" x14ac:dyDescent="0.25"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</row>
    <row r="355" spans="3:17" x14ac:dyDescent="0.25"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</row>
    <row r="356" spans="3:17" x14ac:dyDescent="0.25"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</row>
    <row r="357" spans="3:17" x14ac:dyDescent="0.25"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</row>
    <row r="358" spans="3:17" x14ac:dyDescent="0.25"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</row>
    <row r="359" spans="3:17" x14ac:dyDescent="0.25"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</row>
    <row r="360" spans="3:17" x14ac:dyDescent="0.25"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</row>
    <row r="361" spans="3:17" x14ac:dyDescent="0.25"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</row>
    <row r="362" spans="3:17" x14ac:dyDescent="0.25"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</row>
    <row r="363" spans="3:17" x14ac:dyDescent="0.25"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</row>
    <row r="364" spans="3:17" x14ac:dyDescent="0.25"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</row>
    <row r="365" spans="3:17" x14ac:dyDescent="0.25"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</row>
    <row r="366" spans="3:17" x14ac:dyDescent="0.25"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</row>
    <row r="367" spans="3:17" x14ac:dyDescent="0.25"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</row>
    <row r="368" spans="3:17" x14ac:dyDescent="0.25"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</row>
    <row r="369" spans="3:17" x14ac:dyDescent="0.25"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</row>
    <row r="370" spans="3:17" x14ac:dyDescent="0.25"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</row>
    <row r="371" spans="3:17" x14ac:dyDescent="0.25"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</row>
    <row r="372" spans="3:17" x14ac:dyDescent="0.25"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</row>
    <row r="373" spans="3:17" x14ac:dyDescent="0.25"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</row>
    <row r="374" spans="3:17" x14ac:dyDescent="0.25"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</row>
    <row r="375" spans="3:17" x14ac:dyDescent="0.25"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</row>
    <row r="376" spans="3:17" x14ac:dyDescent="0.25"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</row>
    <row r="377" spans="3:17" x14ac:dyDescent="0.25"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</row>
    <row r="378" spans="3:17" x14ac:dyDescent="0.25"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</row>
    <row r="379" spans="3:17" x14ac:dyDescent="0.25"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</row>
    <row r="380" spans="3:17" x14ac:dyDescent="0.25"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</row>
    <row r="381" spans="3:17" x14ac:dyDescent="0.25"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</row>
    <row r="382" spans="3:17" x14ac:dyDescent="0.25"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</row>
    <row r="383" spans="3:17" x14ac:dyDescent="0.25"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</row>
    <row r="384" spans="3:17" x14ac:dyDescent="0.25"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</row>
    <row r="385" spans="3:17" x14ac:dyDescent="0.25"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</row>
    <row r="386" spans="3:17" x14ac:dyDescent="0.25"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</row>
    <row r="387" spans="3:17" x14ac:dyDescent="0.25"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</row>
    <row r="388" spans="3:17" x14ac:dyDescent="0.25"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</row>
    <row r="389" spans="3:17" x14ac:dyDescent="0.25"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</row>
    <row r="390" spans="3:17" x14ac:dyDescent="0.25"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</row>
    <row r="391" spans="3:17" x14ac:dyDescent="0.25"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</row>
    <row r="392" spans="3:17" x14ac:dyDescent="0.25"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</row>
    <row r="393" spans="3:17" x14ac:dyDescent="0.25"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</row>
    <row r="394" spans="3:17" x14ac:dyDescent="0.25"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</row>
    <row r="395" spans="3:17" x14ac:dyDescent="0.25"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</row>
    <row r="396" spans="3:17" x14ac:dyDescent="0.25"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</row>
    <row r="397" spans="3:17" x14ac:dyDescent="0.25"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</row>
    <row r="398" spans="3:17" x14ac:dyDescent="0.25"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</row>
    <row r="399" spans="3:17" x14ac:dyDescent="0.25"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</row>
    <row r="400" spans="3:17" x14ac:dyDescent="0.25"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</row>
    <row r="401" spans="3:17" x14ac:dyDescent="0.25"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</row>
    <row r="402" spans="3:17" x14ac:dyDescent="0.25"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</row>
    <row r="403" spans="3:17" x14ac:dyDescent="0.25"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</row>
    <row r="404" spans="3:17" x14ac:dyDescent="0.25"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</row>
    <row r="405" spans="3:17" x14ac:dyDescent="0.25"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</row>
    <row r="406" spans="3:17" x14ac:dyDescent="0.25"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</row>
    <row r="407" spans="3:17" x14ac:dyDescent="0.25"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</row>
    <row r="408" spans="3:17" x14ac:dyDescent="0.25"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</row>
    <row r="409" spans="3:17" x14ac:dyDescent="0.25"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</row>
    <row r="410" spans="3:17" x14ac:dyDescent="0.25"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</row>
    <row r="411" spans="3:17" x14ac:dyDescent="0.25"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</row>
    <row r="412" spans="3:17" x14ac:dyDescent="0.25"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</row>
    <row r="413" spans="3:17" x14ac:dyDescent="0.25"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</row>
    <row r="414" spans="3:17" x14ac:dyDescent="0.25"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</row>
    <row r="415" spans="3:17" x14ac:dyDescent="0.25"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</row>
    <row r="416" spans="3:17" x14ac:dyDescent="0.25"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</row>
    <row r="417" spans="3:17" x14ac:dyDescent="0.25"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</row>
    <row r="418" spans="3:17" x14ac:dyDescent="0.25"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</row>
    <row r="419" spans="3:17" x14ac:dyDescent="0.25"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</row>
    <row r="420" spans="3:17" x14ac:dyDescent="0.25"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</row>
    <row r="421" spans="3:17" x14ac:dyDescent="0.25"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</row>
    <row r="422" spans="3:17" x14ac:dyDescent="0.25"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</row>
    <row r="423" spans="3:17" x14ac:dyDescent="0.25"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</row>
    <row r="424" spans="3:17" x14ac:dyDescent="0.25"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</row>
    <row r="425" spans="3:17" x14ac:dyDescent="0.25"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</row>
    <row r="426" spans="3:17" x14ac:dyDescent="0.25"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</row>
    <row r="427" spans="3:17" x14ac:dyDescent="0.25"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</row>
    <row r="428" spans="3:17" x14ac:dyDescent="0.25"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</row>
    <row r="429" spans="3:17" x14ac:dyDescent="0.25"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</row>
    <row r="430" spans="3:17" x14ac:dyDescent="0.25"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</row>
    <row r="431" spans="3:17" x14ac:dyDescent="0.25"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</row>
    <row r="432" spans="3:17" x14ac:dyDescent="0.25"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</row>
    <row r="433" spans="3:17" x14ac:dyDescent="0.25"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</row>
    <row r="434" spans="3:17" x14ac:dyDescent="0.25"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</row>
    <row r="435" spans="3:17" x14ac:dyDescent="0.25"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</row>
    <row r="436" spans="3:17" x14ac:dyDescent="0.25"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</row>
    <row r="437" spans="3:17" x14ac:dyDescent="0.25"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</row>
    <row r="438" spans="3:17" x14ac:dyDescent="0.25"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</row>
    <row r="439" spans="3:17" x14ac:dyDescent="0.25"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</row>
    <row r="440" spans="3:17" x14ac:dyDescent="0.25"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</row>
    <row r="441" spans="3:17" x14ac:dyDescent="0.25"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</row>
    <row r="442" spans="3:17" x14ac:dyDescent="0.25"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</row>
    <row r="443" spans="3:17" x14ac:dyDescent="0.25"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</row>
    <row r="444" spans="3:17" x14ac:dyDescent="0.25"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</row>
    <row r="445" spans="3:17" x14ac:dyDescent="0.25"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</row>
    <row r="446" spans="3:17" x14ac:dyDescent="0.25"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</row>
    <row r="447" spans="3:17" x14ac:dyDescent="0.25"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</row>
    <row r="448" spans="3:17" x14ac:dyDescent="0.25"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</row>
    <row r="449" spans="3:17" x14ac:dyDescent="0.25"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</row>
    <row r="450" spans="3:17" x14ac:dyDescent="0.25"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</row>
    <row r="451" spans="3:17" x14ac:dyDescent="0.25"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</row>
    <row r="452" spans="3:17" x14ac:dyDescent="0.25"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</row>
    <row r="453" spans="3:17" x14ac:dyDescent="0.25"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</row>
    <row r="454" spans="3:17" x14ac:dyDescent="0.25"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</row>
    <row r="455" spans="3:17" x14ac:dyDescent="0.25"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</row>
    <row r="456" spans="3:17" x14ac:dyDescent="0.25"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</row>
    <row r="457" spans="3:17" x14ac:dyDescent="0.25"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</row>
    <row r="458" spans="3:17" x14ac:dyDescent="0.25"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</row>
    <row r="459" spans="3:17" x14ac:dyDescent="0.25"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</row>
    <row r="460" spans="3:17" x14ac:dyDescent="0.25"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</row>
    <row r="461" spans="3:17" x14ac:dyDescent="0.25"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</row>
    <row r="462" spans="3:17" x14ac:dyDescent="0.25"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</row>
    <row r="463" spans="3:17" x14ac:dyDescent="0.25"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</row>
    <row r="464" spans="3:17" x14ac:dyDescent="0.25"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</row>
    <row r="465" spans="3:17" x14ac:dyDescent="0.25"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</row>
    <row r="466" spans="3:17" x14ac:dyDescent="0.25"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</row>
    <row r="467" spans="3:17" x14ac:dyDescent="0.25"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</row>
    <row r="468" spans="3:17" x14ac:dyDescent="0.25"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</row>
    <row r="469" spans="3:17" x14ac:dyDescent="0.25"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</row>
    <row r="470" spans="3:17" x14ac:dyDescent="0.25"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</row>
    <row r="471" spans="3:17" x14ac:dyDescent="0.25"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</row>
    <row r="472" spans="3:17" x14ac:dyDescent="0.25"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</row>
    <row r="473" spans="3:17" x14ac:dyDescent="0.25"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</row>
    <row r="474" spans="3:17" x14ac:dyDescent="0.25"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</row>
    <row r="475" spans="3:17" x14ac:dyDescent="0.25"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</row>
    <row r="476" spans="3:17" x14ac:dyDescent="0.25"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</row>
    <row r="477" spans="3:17" x14ac:dyDescent="0.25"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</row>
    <row r="478" spans="3:17" x14ac:dyDescent="0.25"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</row>
    <row r="479" spans="3:17" x14ac:dyDescent="0.25"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</row>
    <row r="480" spans="3:17" x14ac:dyDescent="0.25"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</row>
    <row r="481" spans="3:17" x14ac:dyDescent="0.25"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</row>
    <row r="482" spans="3:17" x14ac:dyDescent="0.25"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</row>
    <row r="483" spans="3:17" x14ac:dyDescent="0.25"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</row>
    <row r="484" spans="3:17" x14ac:dyDescent="0.25"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</row>
    <row r="485" spans="3:17" x14ac:dyDescent="0.25"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</row>
    <row r="486" spans="3:17" x14ac:dyDescent="0.25"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</row>
    <row r="487" spans="3:17" x14ac:dyDescent="0.25"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</row>
    <row r="488" spans="3:17" x14ac:dyDescent="0.25"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</row>
    <row r="489" spans="3:17" x14ac:dyDescent="0.25"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</row>
    <row r="490" spans="3:17" x14ac:dyDescent="0.25"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</row>
    <row r="491" spans="3:17" x14ac:dyDescent="0.25"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</row>
    <row r="492" spans="3:17" x14ac:dyDescent="0.25"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</row>
    <row r="493" spans="3:17" x14ac:dyDescent="0.25"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</row>
    <row r="494" spans="3:17" x14ac:dyDescent="0.25"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</row>
    <row r="495" spans="3:17" x14ac:dyDescent="0.25"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</row>
    <row r="496" spans="3:17" x14ac:dyDescent="0.25"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</row>
    <row r="497" spans="3:17" x14ac:dyDescent="0.25"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</row>
    <row r="498" spans="3:17" x14ac:dyDescent="0.25"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</row>
    <row r="499" spans="3:17" x14ac:dyDescent="0.25"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</row>
    <row r="500" spans="3:17" x14ac:dyDescent="0.25"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</row>
    <row r="501" spans="3:17" x14ac:dyDescent="0.25"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</row>
    <row r="502" spans="3:17" x14ac:dyDescent="0.25"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</row>
    <row r="503" spans="3:17" x14ac:dyDescent="0.25"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</row>
    <row r="504" spans="3:17" x14ac:dyDescent="0.25"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</row>
    <row r="505" spans="3:17" x14ac:dyDescent="0.25"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</row>
    <row r="506" spans="3:17" x14ac:dyDescent="0.25"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</row>
    <row r="507" spans="3:17" x14ac:dyDescent="0.25"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</row>
    <row r="508" spans="3:17" x14ac:dyDescent="0.25"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</row>
    <row r="509" spans="3:17" x14ac:dyDescent="0.25"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</row>
    <row r="510" spans="3:17" x14ac:dyDescent="0.25"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</row>
    <row r="511" spans="3:17" x14ac:dyDescent="0.25"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</row>
    <row r="512" spans="3:17" x14ac:dyDescent="0.25"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</row>
    <row r="513" spans="3:17" x14ac:dyDescent="0.25"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</row>
    <row r="514" spans="3:17" x14ac:dyDescent="0.25"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</row>
    <row r="515" spans="3:17" x14ac:dyDescent="0.25"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</row>
    <row r="516" spans="3:17" x14ac:dyDescent="0.25"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</row>
    <row r="517" spans="3:17" x14ac:dyDescent="0.25"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</row>
    <row r="518" spans="3:17" x14ac:dyDescent="0.25"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</row>
    <row r="519" spans="3:17" x14ac:dyDescent="0.25"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</row>
  </sheetData>
  <conditionalFormatting sqref="R4:R17">
    <cfRule type="cellIs" dxfId="0" priority="1" operator="lessThanOrEqual">
      <formula>0</formula>
    </cfRule>
  </conditionalFormatting>
  <pageMargins left="0.7" right="0.7" top="0.78740157499999996" bottom="0.78740157499999996" header="0.3" footer="0.3"/>
  <pageSetup paperSize="9" orientation="portrait" horizontalDpi="4294967292" verticalDpi="12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8">
    <tabColor rgb="FF00B050"/>
  </sheetPr>
  <dimension ref="A1:H55"/>
  <sheetViews>
    <sheetView workbookViewId="0">
      <pane ySplit="3" topLeftCell="A4" activePane="bottomLeft" state="frozen"/>
      <selection pane="bottomLeft" activeCell="C10" sqref="C10"/>
    </sheetView>
  </sheetViews>
  <sheetFormatPr baseColWidth="10" defaultRowHeight="15" x14ac:dyDescent="0.25"/>
  <cols>
    <col min="1" max="1" width="10.85546875" customWidth="1"/>
    <col min="2" max="2" width="22.7109375" customWidth="1"/>
    <col min="3" max="3" width="25.85546875" customWidth="1"/>
    <col min="4" max="4" width="9.42578125" bestFit="1" customWidth="1"/>
    <col min="6" max="6" width="11.42578125" style="3"/>
    <col min="7" max="7" width="15" style="2" customWidth="1"/>
  </cols>
  <sheetData>
    <row r="1" spans="1:7" ht="26.25" x14ac:dyDescent="0.4">
      <c r="A1" s="46" t="s">
        <v>124</v>
      </c>
      <c r="B1" s="43"/>
      <c r="C1" s="43"/>
      <c r="D1" s="43"/>
      <c r="E1" s="43"/>
      <c r="F1" s="44"/>
      <c r="G1" s="45"/>
    </row>
    <row r="2" spans="1:7" ht="18.75" x14ac:dyDescent="0.3">
      <c r="A2" s="172" t="s">
        <v>379</v>
      </c>
      <c r="B2" s="43"/>
      <c r="C2" s="43"/>
      <c r="D2" s="43"/>
      <c r="E2" s="19" t="s">
        <v>130</v>
      </c>
      <c r="G2" s="29">
        <f>SUBTOTAL(9,G4:G500)</f>
        <v>0</v>
      </c>
    </row>
    <row r="3" spans="1:7" ht="30" x14ac:dyDescent="0.25">
      <c r="A3" t="s">
        <v>0</v>
      </c>
      <c r="B3" t="s">
        <v>126</v>
      </c>
      <c r="C3" t="s">
        <v>128</v>
      </c>
      <c r="D3" s="16" t="s">
        <v>131</v>
      </c>
      <c r="E3" s="16" t="s">
        <v>120</v>
      </c>
      <c r="F3" s="3" t="s">
        <v>117</v>
      </c>
      <c r="G3" s="2" t="s">
        <v>129</v>
      </c>
    </row>
    <row r="4" spans="1:7" x14ac:dyDescent="0.25">
      <c r="A4" s="1"/>
    </row>
    <row r="5" spans="1:7" x14ac:dyDescent="0.25">
      <c r="A5" s="1"/>
    </row>
    <row r="6" spans="1:7" x14ac:dyDescent="0.25">
      <c r="A6" s="1"/>
    </row>
    <row r="7" spans="1:7" x14ac:dyDescent="0.25">
      <c r="A7" s="1"/>
    </row>
    <row r="8" spans="1:7" x14ac:dyDescent="0.25">
      <c r="A8" s="1"/>
    </row>
    <row r="9" spans="1:7" x14ac:dyDescent="0.25">
      <c r="A9" s="1"/>
    </row>
    <row r="10" spans="1:7" x14ac:dyDescent="0.25">
      <c r="A10" s="1"/>
    </row>
    <row r="11" spans="1:7" x14ac:dyDescent="0.25">
      <c r="A11" s="1"/>
    </row>
    <row r="12" spans="1:7" x14ac:dyDescent="0.25">
      <c r="A12" s="1"/>
    </row>
    <row r="13" spans="1:7" x14ac:dyDescent="0.25">
      <c r="A13" s="1"/>
    </row>
    <row r="14" spans="1:7" x14ac:dyDescent="0.25">
      <c r="A14" s="1"/>
    </row>
    <row r="15" spans="1:7" x14ac:dyDescent="0.25">
      <c r="A15" s="1"/>
    </row>
    <row r="16" spans="1:7" x14ac:dyDescent="0.25">
      <c r="A16" s="1"/>
    </row>
    <row r="17" spans="1:8" x14ac:dyDescent="0.25">
      <c r="A17" s="1"/>
    </row>
    <row r="18" spans="1:8" x14ac:dyDescent="0.25">
      <c r="A18" s="1"/>
    </row>
    <row r="19" spans="1:8" x14ac:dyDescent="0.25">
      <c r="A19" s="1"/>
    </row>
    <row r="20" spans="1:8" x14ac:dyDescent="0.25">
      <c r="A20" s="1"/>
    </row>
    <row r="21" spans="1:8" x14ac:dyDescent="0.25">
      <c r="A21" s="1"/>
    </row>
    <row r="22" spans="1:8" x14ac:dyDescent="0.25">
      <c r="A22" s="1"/>
    </row>
    <row r="23" spans="1:8" x14ac:dyDescent="0.25">
      <c r="A23" s="1"/>
    </row>
    <row r="24" spans="1:8" x14ac:dyDescent="0.25">
      <c r="A24" s="1"/>
    </row>
    <row r="25" spans="1:8" x14ac:dyDescent="0.25">
      <c r="A25" s="1"/>
    </row>
    <row r="26" spans="1:8" x14ac:dyDescent="0.25">
      <c r="A26" s="1"/>
    </row>
    <row r="27" spans="1:8" x14ac:dyDescent="0.25">
      <c r="A27" s="1"/>
    </row>
    <row r="28" spans="1:8" x14ac:dyDescent="0.25">
      <c r="A28" s="1"/>
    </row>
    <row r="29" spans="1:8" x14ac:dyDescent="0.25">
      <c r="A29" s="1"/>
    </row>
    <row r="30" spans="1:8" x14ac:dyDescent="0.25">
      <c r="A30" s="1"/>
    </row>
    <row r="31" spans="1:8" x14ac:dyDescent="0.25">
      <c r="A31" s="1"/>
      <c r="H31" s="26"/>
    </row>
    <row r="32" spans="1:8" x14ac:dyDescent="0.25">
      <c r="A32" s="1"/>
    </row>
    <row r="33" spans="1:8" x14ac:dyDescent="0.25">
      <c r="A33" s="1"/>
    </row>
    <row r="34" spans="1:8" x14ac:dyDescent="0.25">
      <c r="A34" s="1"/>
    </row>
    <row r="35" spans="1:8" x14ac:dyDescent="0.25">
      <c r="A35" s="1"/>
    </row>
    <row r="36" spans="1:8" x14ac:dyDescent="0.25">
      <c r="A36" s="1"/>
    </row>
    <row r="37" spans="1:8" x14ac:dyDescent="0.25">
      <c r="A37" s="1"/>
    </row>
    <row r="38" spans="1:8" x14ac:dyDescent="0.25">
      <c r="A38" s="1"/>
      <c r="H38" s="26"/>
    </row>
    <row r="39" spans="1:8" x14ac:dyDescent="0.25">
      <c r="A39" s="1"/>
    </row>
    <row r="40" spans="1:8" x14ac:dyDescent="0.25">
      <c r="A40" s="1"/>
    </row>
    <row r="41" spans="1:8" x14ac:dyDescent="0.25">
      <c r="A41" s="1"/>
    </row>
    <row r="42" spans="1:8" x14ac:dyDescent="0.25">
      <c r="A42" s="1"/>
    </row>
    <row r="43" spans="1:8" x14ac:dyDescent="0.25">
      <c r="A43" s="1"/>
    </row>
    <row r="44" spans="1:8" x14ac:dyDescent="0.25">
      <c r="A44" s="1"/>
    </row>
    <row r="45" spans="1:8" x14ac:dyDescent="0.25">
      <c r="A45" s="1"/>
    </row>
    <row r="46" spans="1:8" x14ac:dyDescent="0.25">
      <c r="A46" s="1"/>
    </row>
    <row r="47" spans="1:8" x14ac:dyDescent="0.25">
      <c r="A47" s="1"/>
    </row>
    <row r="48" spans="1:8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</sheetData>
  <autoFilter ref="A3:G18"/>
  <sortState ref="A5:G11">
    <sortCondition ref="A11"/>
  </sortState>
  <pageMargins left="0.7" right="0.7" top="0.78740157499999996" bottom="0.78740157499999996" header="0.3" footer="0.3"/>
  <pageSetup paperSize="9" orientation="portrait" horizontalDpi="0" verticalDpi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9">
    <tabColor rgb="FFFF0000"/>
  </sheetPr>
  <dimension ref="A1:K315"/>
  <sheetViews>
    <sheetView workbookViewId="0">
      <pane ySplit="3" topLeftCell="A4" activePane="bottomLeft" state="frozen"/>
      <selection pane="bottomLeft" activeCell="C12" sqref="C12"/>
    </sheetView>
  </sheetViews>
  <sheetFormatPr baseColWidth="10" defaultRowHeight="15" x14ac:dyDescent="0.25"/>
  <cols>
    <col min="1" max="1" width="10.7109375" customWidth="1"/>
    <col min="2" max="2" width="34.7109375" customWidth="1"/>
    <col min="3" max="3" width="59" customWidth="1"/>
    <col min="4" max="4" width="7.7109375" style="3" bestFit="1" customWidth="1"/>
    <col min="5" max="5" width="11.7109375" bestFit="1" customWidth="1"/>
    <col min="7" max="7" width="11.28515625" style="3" bestFit="1" customWidth="1"/>
    <col min="8" max="8" width="13.42578125" style="85" customWidth="1"/>
    <col min="9" max="9" width="12" bestFit="1" customWidth="1"/>
    <col min="11" max="11" width="13.28515625" customWidth="1"/>
  </cols>
  <sheetData>
    <row r="1" spans="1:11" ht="26.25" x14ac:dyDescent="0.4">
      <c r="A1" s="48" t="s">
        <v>125</v>
      </c>
      <c r="B1" s="49"/>
      <c r="C1" s="49"/>
      <c r="D1" s="50"/>
      <c r="E1" s="49"/>
      <c r="F1" s="49"/>
      <c r="G1" s="50"/>
      <c r="H1" s="150"/>
      <c r="I1" s="30" t="s">
        <v>146</v>
      </c>
      <c r="K1" t="s">
        <v>369</v>
      </c>
    </row>
    <row r="2" spans="1:11" ht="18.75" x14ac:dyDescent="0.3">
      <c r="A2" s="51" t="s">
        <v>379</v>
      </c>
      <c r="B2" s="49"/>
      <c r="C2" s="52"/>
      <c r="D2" s="52"/>
      <c r="E2" s="52"/>
      <c r="F2" s="19" t="s">
        <v>130</v>
      </c>
      <c r="H2" s="151">
        <f>SUBTOTAL(9,H4:H550)</f>
        <v>0</v>
      </c>
      <c r="I2" s="31">
        <f>'Feste Ausgaben'!O1+'Veränderliche Ausgaben'!O1</f>
        <v>0</v>
      </c>
      <c r="K2" s="26">
        <f>H2-I2</f>
        <v>0</v>
      </c>
    </row>
    <row r="3" spans="1:11" ht="30" x14ac:dyDescent="0.25">
      <c r="A3" t="s">
        <v>0</v>
      </c>
      <c r="B3" t="s">
        <v>132</v>
      </c>
      <c r="C3" t="s">
        <v>128</v>
      </c>
      <c r="D3" s="101" t="s">
        <v>235</v>
      </c>
      <c r="E3" s="16" t="s">
        <v>131</v>
      </c>
      <c r="F3" s="16" t="s">
        <v>127</v>
      </c>
      <c r="G3" s="3" t="s">
        <v>117</v>
      </c>
      <c r="H3" s="85" t="s">
        <v>129</v>
      </c>
      <c r="I3" s="76" t="s">
        <v>188</v>
      </c>
    </row>
    <row r="4" spans="1:11" x14ac:dyDescent="0.25">
      <c r="A4" s="1"/>
      <c r="H4" s="2"/>
    </row>
    <row r="5" spans="1:11" x14ac:dyDescent="0.25">
      <c r="A5" s="1"/>
      <c r="H5" s="2"/>
    </row>
    <row r="6" spans="1:11" x14ac:dyDescent="0.25">
      <c r="A6" s="1"/>
      <c r="H6" s="2"/>
    </row>
    <row r="7" spans="1:11" x14ac:dyDescent="0.25">
      <c r="A7" s="1"/>
      <c r="H7" s="2"/>
    </row>
    <row r="8" spans="1:11" x14ac:dyDescent="0.25">
      <c r="A8" s="1"/>
      <c r="H8" s="2"/>
    </row>
    <row r="9" spans="1:11" x14ac:dyDescent="0.25">
      <c r="A9" s="1"/>
      <c r="H9" s="2"/>
    </row>
    <row r="10" spans="1:11" x14ac:dyDescent="0.25">
      <c r="A10" s="1"/>
      <c r="H10" s="2"/>
    </row>
    <row r="11" spans="1:11" x14ac:dyDescent="0.25">
      <c r="A11" s="1"/>
      <c r="H11" s="2"/>
    </row>
    <row r="12" spans="1:11" x14ac:dyDescent="0.25">
      <c r="A12" s="1"/>
      <c r="H12" s="2"/>
      <c r="I12" s="26"/>
    </row>
    <row r="13" spans="1:11" x14ac:dyDescent="0.25">
      <c r="A13" s="1"/>
      <c r="H13" s="2"/>
    </row>
    <row r="14" spans="1:11" x14ac:dyDescent="0.25">
      <c r="A14" s="1"/>
      <c r="H14" s="2"/>
    </row>
    <row r="15" spans="1:11" x14ac:dyDescent="0.25">
      <c r="A15" s="1"/>
      <c r="H15" s="2"/>
    </row>
    <row r="16" spans="1:11" x14ac:dyDescent="0.25">
      <c r="A16" s="1"/>
      <c r="H16" s="2"/>
    </row>
    <row r="17" spans="1:9" x14ac:dyDescent="0.25">
      <c r="A17" s="1"/>
      <c r="H17" s="2"/>
    </row>
    <row r="18" spans="1:9" x14ac:dyDescent="0.25">
      <c r="A18" s="1"/>
      <c r="H18" s="2"/>
    </row>
    <row r="19" spans="1:9" x14ac:dyDescent="0.25">
      <c r="A19" s="1"/>
      <c r="H19" s="2"/>
    </row>
    <row r="20" spans="1:9" x14ac:dyDescent="0.25">
      <c r="A20" s="1"/>
      <c r="H20" s="2"/>
    </row>
    <row r="21" spans="1:9" x14ac:dyDescent="0.25">
      <c r="A21" s="1"/>
      <c r="H21" s="2"/>
    </row>
    <row r="22" spans="1:9" x14ac:dyDescent="0.25">
      <c r="A22" s="1"/>
      <c r="H22" s="2"/>
    </row>
    <row r="23" spans="1:9" x14ac:dyDescent="0.25">
      <c r="A23" s="1"/>
      <c r="H23" s="2"/>
    </row>
    <row r="24" spans="1:9" x14ac:dyDescent="0.25">
      <c r="A24" s="1"/>
      <c r="H24" s="2"/>
    </row>
    <row r="25" spans="1:9" x14ac:dyDescent="0.25">
      <c r="A25" s="1"/>
      <c r="H25" s="2"/>
    </row>
    <row r="26" spans="1:9" x14ac:dyDescent="0.25">
      <c r="A26" s="1"/>
      <c r="H26" s="2"/>
      <c r="I26" s="26"/>
    </row>
    <row r="27" spans="1:9" x14ac:dyDescent="0.25">
      <c r="A27" s="1"/>
      <c r="H27" s="2"/>
    </row>
    <row r="28" spans="1:9" x14ac:dyDescent="0.25">
      <c r="A28" s="1"/>
      <c r="H28" s="2"/>
    </row>
    <row r="29" spans="1:9" x14ac:dyDescent="0.25">
      <c r="A29" s="1"/>
      <c r="H29" s="2"/>
      <c r="I29" s="26"/>
    </row>
    <row r="30" spans="1:9" x14ac:dyDescent="0.25">
      <c r="A30" s="1"/>
      <c r="H30" s="2"/>
    </row>
    <row r="31" spans="1:9" ht="15" customHeight="1" x14ac:dyDescent="0.25">
      <c r="A31" s="1"/>
      <c r="H31" s="2"/>
    </row>
    <row r="32" spans="1:9" x14ac:dyDescent="0.25">
      <c r="A32" s="1"/>
      <c r="H32" s="2"/>
    </row>
    <row r="33" spans="1:9" x14ac:dyDescent="0.25">
      <c r="A33" s="1"/>
      <c r="H33" s="2"/>
    </row>
    <row r="34" spans="1:9" x14ac:dyDescent="0.25">
      <c r="A34" s="1"/>
      <c r="H34" s="2"/>
    </row>
    <row r="35" spans="1:9" x14ac:dyDescent="0.25">
      <c r="A35" s="1"/>
      <c r="H35" s="2"/>
    </row>
    <row r="36" spans="1:9" x14ac:dyDescent="0.25">
      <c r="A36" s="1"/>
      <c r="H36" s="2"/>
    </row>
    <row r="37" spans="1:9" x14ac:dyDescent="0.25">
      <c r="A37" s="1"/>
      <c r="H37" s="2"/>
    </row>
    <row r="38" spans="1:9" x14ac:dyDescent="0.25">
      <c r="A38" s="1"/>
      <c r="H38" s="2"/>
    </row>
    <row r="39" spans="1:9" x14ac:dyDescent="0.25">
      <c r="A39" s="1"/>
      <c r="H39" s="2"/>
    </row>
    <row r="40" spans="1:9" x14ac:dyDescent="0.25">
      <c r="A40" s="1"/>
      <c r="H40" s="2"/>
    </row>
    <row r="41" spans="1:9" x14ac:dyDescent="0.25">
      <c r="A41" s="1"/>
      <c r="H41" s="2"/>
      <c r="I41" s="26"/>
    </row>
    <row r="42" spans="1:9" ht="15" customHeight="1" x14ac:dyDescent="0.25">
      <c r="A42" s="1"/>
      <c r="H42" s="2"/>
    </row>
    <row r="43" spans="1:9" x14ac:dyDescent="0.25">
      <c r="A43" s="1"/>
      <c r="H43" s="2"/>
    </row>
    <row r="44" spans="1:9" x14ac:dyDescent="0.25">
      <c r="A44" s="1"/>
      <c r="H44" s="2"/>
    </row>
    <row r="45" spans="1:9" x14ac:dyDescent="0.25">
      <c r="A45" s="1"/>
      <c r="H45" s="2"/>
    </row>
    <row r="46" spans="1:9" x14ac:dyDescent="0.25">
      <c r="A46" s="1"/>
      <c r="H46" s="2"/>
      <c r="I46" s="26"/>
    </row>
    <row r="47" spans="1:9" x14ac:dyDescent="0.25">
      <c r="A47" s="1"/>
      <c r="H47" s="2"/>
    </row>
    <row r="48" spans="1:9" x14ac:dyDescent="0.25">
      <c r="A48" s="1"/>
      <c r="H48" s="2"/>
    </row>
    <row r="49" spans="1:9" x14ac:dyDescent="0.25">
      <c r="A49" s="1"/>
      <c r="H49" s="2"/>
    </row>
    <row r="50" spans="1:9" x14ac:dyDescent="0.25">
      <c r="A50" s="1"/>
      <c r="H50" s="2"/>
    </row>
    <row r="51" spans="1:9" ht="15" customHeight="1" x14ac:dyDescent="0.25">
      <c r="A51" s="1"/>
      <c r="H51" s="2"/>
    </row>
    <row r="52" spans="1:9" ht="15" customHeight="1" x14ac:dyDescent="0.25">
      <c r="A52" s="1"/>
      <c r="H52" s="2"/>
    </row>
    <row r="53" spans="1:9" ht="15" customHeight="1" x14ac:dyDescent="0.25">
      <c r="A53" s="1"/>
      <c r="H53" s="2"/>
    </row>
    <row r="54" spans="1:9" x14ac:dyDescent="0.25">
      <c r="A54" s="1"/>
      <c r="H54" s="2"/>
    </row>
    <row r="55" spans="1:9" x14ac:dyDescent="0.25">
      <c r="A55" s="1"/>
      <c r="H55" s="2"/>
      <c r="I55" s="26"/>
    </row>
    <row r="56" spans="1:9" x14ac:dyDescent="0.25">
      <c r="A56" s="1"/>
      <c r="H56" s="2"/>
    </row>
    <row r="57" spans="1:9" ht="15" customHeight="1" x14ac:dyDescent="0.25">
      <c r="A57" s="1"/>
      <c r="H57" s="2"/>
    </row>
    <row r="58" spans="1:9" x14ac:dyDescent="0.25">
      <c r="A58" s="1"/>
      <c r="H58" s="2"/>
    </row>
    <row r="59" spans="1:9" x14ac:dyDescent="0.25">
      <c r="A59" s="1"/>
      <c r="H59" s="2"/>
    </row>
    <row r="60" spans="1:9" x14ac:dyDescent="0.25">
      <c r="A60" s="1"/>
      <c r="H60" s="2"/>
    </row>
    <row r="61" spans="1:9" x14ac:dyDescent="0.25">
      <c r="A61" s="1"/>
      <c r="H61" s="2"/>
      <c r="I61" s="26"/>
    </row>
    <row r="62" spans="1:9" x14ac:dyDescent="0.25">
      <c r="A62" s="1"/>
      <c r="H62" s="2"/>
    </row>
    <row r="63" spans="1:9" x14ac:dyDescent="0.25">
      <c r="A63" s="1"/>
      <c r="H63" s="2"/>
      <c r="I63" s="26"/>
    </row>
    <row r="64" spans="1:9" x14ac:dyDescent="0.25">
      <c r="A64" s="1"/>
    </row>
    <row r="65" spans="1:9" x14ac:dyDescent="0.25">
      <c r="A65" s="1"/>
      <c r="H65" s="2"/>
    </row>
    <row r="66" spans="1:9" x14ac:dyDescent="0.25">
      <c r="A66" s="1"/>
      <c r="H66" s="2"/>
      <c r="I66" s="26"/>
    </row>
    <row r="67" spans="1:9" x14ac:dyDescent="0.25">
      <c r="A67" s="1"/>
      <c r="H67" s="2"/>
    </row>
    <row r="68" spans="1:9" x14ac:dyDescent="0.25">
      <c r="A68" s="1"/>
      <c r="H68" s="2"/>
      <c r="I68" s="26"/>
    </row>
    <row r="69" spans="1:9" x14ac:dyDescent="0.25">
      <c r="A69" s="1"/>
      <c r="H69" s="2"/>
    </row>
    <row r="70" spans="1:9" x14ac:dyDescent="0.25">
      <c r="A70" s="1"/>
      <c r="H70" s="2"/>
    </row>
    <row r="71" spans="1:9" x14ac:dyDescent="0.25">
      <c r="A71" s="1"/>
      <c r="H71" s="2"/>
    </row>
    <row r="72" spans="1:9" x14ac:dyDescent="0.25">
      <c r="A72" s="1"/>
      <c r="H72" s="2"/>
      <c r="I72" s="26"/>
    </row>
    <row r="73" spans="1:9" x14ac:dyDescent="0.25">
      <c r="A73" s="1"/>
      <c r="H73" s="2"/>
    </row>
    <row r="74" spans="1:9" x14ac:dyDescent="0.25">
      <c r="A74" s="1"/>
      <c r="H74" s="2"/>
    </row>
    <row r="75" spans="1:9" x14ac:dyDescent="0.25">
      <c r="A75" s="1"/>
      <c r="H75" s="2"/>
    </row>
    <row r="76" spans="1:9" x14ac:dyDescent="0.25">
      <c r="A76" s="1"/>
      <c r="H76" s="2"/>
      <c r="I76" s="26"/>
    </row>
    <row r="77" spans="1:9" x14ac:dyDescent="0.25">
      <c r="A77" s="1"/>
      <c r="H77" s="2"/>
    </row>
    <row r="78" spans="1:9" x14ac:dyDescent="0.25">
      <c r="A78" s="1"/>
      <c r="H78" s="2"/>
    </row>
    <row r="79" spans="1:9" x14ac:dyDescent="0.25">
      <c r="A79" s="1"/>
      <c r="H79" s="2"/>
      <c r="I79" s="26"/>
    </row>
    <row r="80" spans="1:9" x14ac:dyDescent="0.25">
      <c r="A80" s="1"/>
      <c r="H80" s="2"/>
    </row>
    <row r="81" spans="1:9" x14ac:dyDescent="0.25">
      <c r="A81" s="1"/>
      <c r="H81" s="2"/>
    </row>
    <row r="82" spans="1:9" x14ac:dyDescent="0.25">
      <c r="A82" s="1"/>
      <c r="H82" s="2"/>
      <c r="I82" s="26"/>
    </row>
    <row r="83" spans="1:9" x14ac:dyDescent="0.25">
      <c r="A83" s="1"/>
      <c r="H83" s="2"/>
    </row>
    <row r="84" spans="1:9" x14ac:dyDescent="0.25">
      <c r="A84" s="1"/>
      <c r="H84" s="2"/>
    </row>
    <row r="85" spans="1:9" x14ac:dyDescent="0.25">
      <c r="A85" s="1"/>
      <c r="H85" s="2"/>
      <c r="I85" s="26"/>
    </row>
    <row r="86" spans="1:9" x14ac:dyDescent="0.25">
      <c r="A86" s="1"/>
      <c r="H86" s="2"/>
      <c r="I86" s="26"/>
    </row>
    <row r="87" spans="1:9" x14ac:dyDescent="0.25">
      <c r="A87" s="1"/>
      <c r="H87" s="2"/>
      <c r="I87" s="26"/>
    </row>
    <row r="88" spans="1:9" x14ac:dyDescent="0.25">
      <c r="A88" s="1"/>
      <c r="H88" s="2"/>
    </row>
    <row r="89" spans="1:9" x14ac:dyDescent="0.25">
      <c r="A89" s="1"/>
      <c r="H89" s="2"/>
    </row>
    <row r="90" spans="1:9" x14ac:dyDescent="0.25">
      <c r="A90" s="1"/>
      <c r="H90" s="2"/>
    </row>
    <row r="91" spans="1:9" x14ac:dyDescent="0.25">
      <c r="A91" s="1"/>
      <c r="H91" s="2"/>
    </row>
    <row r="92" spans="1:9" x14ac:dyDescent="0.25">
      <c r="A92" s="1"/>
      <c r="H92" s="2"/>
    </row>
    <row r="93" spans="1:9" x14ac:dyDescent="0.25">
      <c r="A93" s="1"/>
      <c r="H93" s="2"/>
      <c r="I93" s="26"/>
    </row>
    <row r="94" spans="1:9" x14ac:dyDescent="0.25">
      <c r="A94" s="1"/>
      <c r="H94" s="2"/>
    </row>
    <row r="95" spans="1:9" x14ac:dyDescent="0.25">
      <c r="A95" s="1"/>
      <c r="H95" s="2"/>
    </row>
    <row r="96" spans="1:9" x14ac:dyDescent="0.25">
      <c r="A96" s="1"/>
      <c r="H96" s="2"/>
    </row>
    <row r="97" spans="1:9" x14ac:dyDescent="0.25">
      <c r="A97" s="1"/>
      <c r="H97" s="2"/>
    </row>
    <row r="98" spans="1:9" x14ac:dyDescent="0.25">
      <c r="A98" s="1"/>
      <c r="H98" s="2"/>
    </row>
    <row r="99" spans="1:9" x14ac:dyDescent="0.25">
      <c r="A99" s="1"/>
      <c r="H99" s="2"/>
      <c r="I99" s="26"/>
    </row>
    <row r="100" spans="1:9" x14ac:dyDescent="0.25">
      <c r="A100" s="1"/>
      <c r="H100" s="2"/>
    </row>
    <row r="101" spans="1:9" x14ac:dyDescent="0.25">
      <c r="A101" s="1"/>
      <c r="H101" s="2"/>
    </row>
    <row r="102" spans="1:9" x14ac:dyDescent="0.25">
      <c r="A102" s="1"/>
      <c r="H102" s="2"/>
      <c r="I102" s="26"/>
    </row>
    <row r="103" spans="1:9" x14ac:dyDescent="0.25">
      <c r="A103" s="1"/>
      <c r="H103" s="2"/>
    </row>
    <row r="104" spans="1:9" x14ac:dyDescent="0.25">
      <c r="A104" s="1"/>
      <c r="H104" s="2"/>
    </row>
    <row r="105" spans="1:9" x14ac:dyDescent="0.25">
      <c r="A105" s="1"/>
    </row>
    <row r="106" spans="1:9" x14ac:dyDescent="0.25">
      <c r="A106" s="1"/>
    </row>
    <row r="107" spans="1:9" x14ac:dyDescent="0.25">
      <c r="A107" s="1"/>
    </row>
    <row r="108" spans="1:9" x14ac:dyDescent="0.25">
      <c r="A108" s="1"/>
    </row>
    <row r="109" spans="1:9" x14ac:dyDescent="0.25">
      <c r="A109" s="1"/>
    </row>
    <row r="110" spans="1:9" x14ac:dyDescent="0.25">
      <c r="A110" s="1"/>
    </row>
    <row r="111" spans="1:9" x14ac:dyDescent="0.25">
      <c r="A111" s="1"/>
    </row>
    <row r="112" spans="1:9" x14ac:dyDescent="0.25">
      <c r="A112" s="1"/>
      <c r="H112" s="2"/>
    </row>
    <row r="113" spans="1:9" x14ac:dyDescent="0.25">
      <c r="A113" s="1"/>
      <c r="H113" s="2"/>
    </row>
    <row r="114" spans="1:9" x14ac:dyDescent="0.25">
      <c r="A114" s="1"/>
      <c r="H114" s="2"/>
    </row>
    <row r="115" spans="1:9" x14ac:dyDescent="0.25">
      <c r="A115" s="1"/>
      <c r="H115" s="2"/>
      <c r="I115" s="26"/>
    </row>
    <row r="116" spans="1:9" x14ac:dyDescent="0.25">
      <c r="A116" s="1"/>
      <c r="H116" s="2"/>
    </row>
    <row r="117" spans="1:9" x14ac:dyDescent="0.25">
      <c r="A117" s="1"/>
    </row>
    <row r="118" spans="1:9" x14ac:dyDescent="0.25">
      <c r="A118" s="1"/>
    </row>
    <row r="119" spans="1:9" x14ac:dyDescent="0.25">
      <c r="A119" s="1"/>
    </row>
    <row r="120" spans="1:9" x14ac:dyDescent="0.25">
      <c r="A120" s="1"/>
    </row>
    <row r="121" spans="1:9" x14ac:dyDescent="0.25">
      <c r="A121" s="1"/>
      <c r="H121" s="2"/>
      <c r="I121" s="26"/>
    </row>
    <row r="122" spans="1:9" x14ac:dyDescent="0.25">
      <c r="A122" s="1"/>
      <c r="H122" s="2"/>
    </row>
    <row r="123" spans="1:9" x14ac:dyDescent="0.25">
      <c r="A123" s="1"/>
      <c r="H123" s="2"/>
    </row>
    <row r="124" spans="1:9" x14ac:dyDescent="0.25">
      <c r="A124" s="1"/>
      <c r="H124" s="2"/>
      <c r="I124" s="26"/>
    </row>
    <row r="125" spans="1:9" x14ac:dyDescent="0.25">
      <c r="A125" s="1"/>
    </row>
    <row r="126" spans="1:9" x14ac:dyDescent="0.25">
      <c r="A126" s="1"/>
    </row>
    <row r="127" spans="1:9" x14ac:dyDescent="0.25">
      <c r="A127" s="1"/>
      <c r="H127" s="2"/>
    </row>
    <row r="128" spans="1:9" x14ac:dyDescent="0.25">
      <c r="A128" s="1"/>
      <c r="H128" s="2"/>
      <c r="I128" s="26"/>
    </row>
    <row r="129" spans="1:9" x14ac:dyDescent="0.25">
      <c r="A129" s="1"/>
      <c r="H129" s="2"/>
      <c r="I129" s="26"/>
    </row>
    <row r="130" spans="1:9" x14ac:dyDescent="0.25">
      <c r="A130" s="1"/>
    </row>
    <row r="131" spans="1:9" x14ac:dyDescent="0.25">
      <c r="A131" s="1"/>
      <c r="H131" s="2"/>
    </row>
    <row r="132" spans="1:9" x14ac:dyDescent="0.25">
      <c r="A132" s="1"/>
      <c r="H132" s="2"/>
    </row>
    <row r="133" spans="1:9" x14ac:dyDescent="0.25">
      <c r="A133" s="1"/>
      <c r="H133" s="2"/>
    </row>
    <row r="134" spans="1:9" x14ac:dyDescent="0.25">
      <c r="A134" s="1"/>
    </row>
    <row r="135" spans="1:9" x14ac:dyDescent="0.25">
      <c r="A135" s="1"/>
    </row>
    <row r="136" spans="1:9" x14ac:dyDescent="0.25">
      <c r="A136" s="1"/>
    </row>
    <row r="137" spans="1:9" x14ac:dyDescent="0.25">
      <c r="A137" s="1"/>
    </row>
    <row r="138" spans="1:9" x14ac:dyDescent="0.25">
      <c r="A138" s="1"/>
      <c r="C138" s="154"/>
      <c r="I138" s="26"/>
    </row>
    <row r="139" spans="1:9" x14ac:dyDescent="0.25">
      <c r="A139" s="1"/>
    </row>
    <row r="140" spans="1:9" ht="15" customHeight="1" x14ac:dyDescent="0.25">
      <c r="A140" s="1"/>
    </row>
    <row r="141" spans="1:9" x14ac:dyDescent="0.25">
      <c r="A141" s="1"/>
      <c r="H141" s="2"/>
    </row>
    <row r="142" spans="1:9" x14ac:dyDescent="0.25">
      <c r="A142" s="1"/>
      <c r="H142" s="2"/>
    </row>
    <row r="143" spans="1:9" x14ac:dyDescent="0.25">
      <c r="A143" s="1"/>
      <c r="H143" s="2"/>
    </row>
    <row r="144" spans="1:9" x14ac:dyDescent="0.25">
      <c r="A144" s="1"/>
      <c r="H144" s="2"/>
    </row>
    <row r="145" spans="1:9" x14ac:dyDescent="0.25">
      <c r="A145" s="1"/>
    </row>
    <row r="146" spans="1:9" x14ac:dyDescent="0.25">
      <c r="A146" s="1"/>
      <c r="H146" s="2"/>
      <c r="I146" s="26"/>
    </row>
    <row r="147" spans="1:9" x14ac:dyDescent="0.25">
      <c r="A147" s="1"/>
      <c r="H147" s="2"/>
    </row>
    <row r="148" spans="1:9" x14ac:dyDescent="0.25">
      <c r="A148" s="1"/>
    </row>
    <row r="149" spans="1:9" x14ac:dyDescent="0.25">
      <c r="A149" s="1"/>
    </row>
    <row r="150" spans="1:9" x14ac:dyDescent="0.25">
      <c r="A150" s="1"/>
      <c r="H150" s="2"/>
    </row>
    <row r="151" spans="1:9" x14ac:dyDescent="0.25">
      <c r="A151" s="1"/>
      <c r="H151" s="2"/>
    </row>
    <row r="152" spans="1:9" x14ac:dyDescent="0.25">
      <c r="A152" s="1"/>
      <c r="H152" s="2"/>
    </row>
    <row r="153" spans="1:9" x14ac:dyDescent="0.25">
      <c r="A153" s="1"/>
      <c r="H153" s="2"/>
      <c r="I153" s="26"/>
    </row>
    <row r="154" spans="1:9" x14ac:dyDescent="0.25">
      <c r="A154" s="1"/>
      <c r="H154" s="2"/>
    </row>
    <row r="155" spans="1:9" x14ac:dyDescent="0.25">
      <c r="A155" s="1"/>
      <c r="H155" s="2"/>
    </row>
    <row r="156" spans="1:9" x14ac:dyDescent="0.25">
      <c r="A156" s="1"/>
    </row>
    <row r="157" spans="1:9" x14ac:dyDescent="0.25">
      <c r="A157" s="1"/>
    </row>
    <row r="158" spans="1:9" x14ac:dyDescent="0.25">
      <c r="A158" s="1"/>
      <c r="H158" s="2"/>
    </row>
    <row r="159" spans="1:9" x14ac:dyDescent="0.25">
      <c r="A159" s="1"/>
      <c r="H159" s="2"/>
    </row>
    <row r="160" spans="1:9" x14ac:dyDescent="0.25">
      <c r="A160" s="1"/>
      <c r="H160" s="2"/>
      <c r="I160" s="26"/>
    </row>
    <row r="161" spans="1:9" x14ac:dyDescent="0.25">
      <c r="A161" s="1"/>
      <c r="H161" s="2"/>
    </row>
    <row r="162" spans="1:9" ht="15" customHeight="1" x14ac:dyDescent="0.25">
      <c r="A162" s="1"/>
      <c r="H162" s="2"/>
    </row>
    <row r="163" spans="1:9" x14ac:dyDescent="0.25">
      <c r="A163" s="1"/>
      <c r="H163" s="2"/>
    </row>
    <row r="164" spans="1:9" x14ac:dyDescent="0.25">
      <c r="A164" s="1"/>
    </row>
    <row r="165" spans="1:9" x14ac:dyDescent="0.25">
      <c r="A165" s="1"/>
    </row>
    <row r="166" spans="1:9" x14ac:dyDescent="0.25">
      <c r="A166" s="1"/>
    </row>
    <row r="167" spans="1:9" x14ac:dyDescent="0.25">
      <c r="A167" s="1"/>
    </row>
    <row r="168" spans="1:9" x14ac:dyDescent="0.25">
      <c r="A168" s="1"/>
      <c r="H168" s="2"/>
    </row>
    <row r="169" spans="1:9" x14ac:dyDescent="0.25">
      <c r="A169" s="1"/>
      <c r="H169" s="2"/>
    </row>
    <row r="170" spans="1:9" x14ac:dyDescent="0.25">
      <c r="A170" s="1"/>
      <c r="H170" s="2"/>
      <c r="I170" s="26"/>
    </row>
    <row r="171" spans="1:9" x14ac:dyDescent="0.25">
      <c r="A171" s="1"/>
    </row>
    <row r="172" spans="1:9" x14ac:dyDescent="0.25">
      <c r="A172" s="1"/>
      <c r="H172" s="2"/>
    </row>
    <row r="173" spans="1:9" x14ac:dyDescent="0.25">
      <c r="A173" s="1"/>
      <c r="H173" s="2"/>
      <c r="I173" s="26"/>
    </row>
    <row r="174" spans="1:9" x14ac:dyDescent="0.25">
      <c r="A174" s="1"/>
      <c r="H174" s="2"/>
    </row>
    <row r="175" spans="1:9" x14ac:dyDescent="0.25">
      <c r="A175" s="1"/>
      <c r="H175" s="2"/>
      <c r="I175" s="26"/>
    </row>
    <row r="176" spans="1:9" x14ac:dyDescent="0.25">
      <c r="A176" s="1"/>
    </row>
    <row r="177" spans="1:9" x14ac:dyDescent="0.25">
      <c r="A177" s="1"/>
    </row>
    <row r="178" spans="1:9" x14ac:dyDescent="0.25">
      <c r="A178" s="1"/>
    </row>
    <row r="179" spans="1:9" x14ac:dyDescent="0.25">
      <c r="A179" s="1"/>
      <c r="H179" s="2"/>
    </row>
    <row r="180" spans="1:9" x14ac:dyDescent="0.25">
      <c r="A180" s="1"/>
      <c r="H180" s="2"/>
    </row>
    <row r="181" spans="1:9" x14ac:dyDescent="0.25">
      <c r="A181" s="1"/>
      <c r="H181" s="2"/>
    </row>
    <row r="182" spans="1:9" x14ac:dyDescent="0.25">
      <c r="A182" s="1"/>
      <c r="H182" s="2"/>
    </row>
    <row r="183" spans="1:9" x14ac:dyDescent="0.25">
      <c r="A183" s="1"/>
    </row>
    <row r="184" spans="1:9" x14ac:dyDescent="0.25">
      <c r="A184" s="1"/>
      <c r="H184" s="2"/>
    </row>
    <row r="185" spans="1:9" x14ac:dyDescent="0.25">
      <c r="A185" s="1"/>
      <c r="H185" s="2"/>
      <c r="I185" s="26"/>
    </row>
    <row r="186" spans="1:9" x14ac:dyDescent="0.25">
      <c r="A186" s="1"/>
    </row>
    <row r="187" spans="1:9" x14ac:dyDescent="0.25">
      <c r="A187" s="1"/>
      <c r="H187" s="2"/>
    </row>
    <row r="188" spans="1:9" x14ac:dyDescent="0.25">
      <c r="A188" s="1"/>
    </row>
    <row r="189" spans="1:9" x14ac:dyDescent="0.25">
      <c r="A189" s="1"/>
      <c r="H189" s="2"/>
    </row>
    <row r="190" spans="1:9" x14ac:dyDescent="0.25">
      <c r="A190" s="1"/>
      <c r="H190" s="2"/>
      <c r="I190" s="26"/>
    </row>
    <row r="191" spans="1:9" x14ac:dyDescent="0.25">
      <c r="A191" s="1"/>
      <c r="H191" s="2"/>
      <c r="I191" s="26"/>
    </row>
    <row r="192" spans="1:9" x14ac:dyDescent="0.25">
      <c r="A192" s="1"/>
    </row>
    <row r="193" spans="1:8" x14ac:dyDescent="0.25">
      <c r="A193" s="1"/>
    </row>
    <row r="194" spans="1:8" x14ac:dyDescent="0.25">
      <c r="A194" s="1"/>
    </row>
    <row r="195" spans="1:8" x14ac:dyDescent="0.25">
      <c r="A195" s="1"/>
    </row>
    <row r="196" spans="1:8" x14ac:dyDescent="0.25">
      <c r="A196" s="1"/>
    </row>
    <row r="197" spans="1:8" x14ac:dyDescent="0.25">
      <c r="A197" s="1"/>
    </row>
    <row r="198" spans="1:8" x14ac:dyDescent="0.25">
      <c r="A198" s="1"/>
    </row>
    <row r="199" spans="1:8" x14ac:dyDescent="0.25">
      <c r="A199" s="1"/>
    </row>
    <row r="200" spans="1:8" x14ac:dyDescent="0.25">
      <c r="A200" s="1"/>
    </row>
    <row r="201" spans="1:8" x14ac:dyDescent="0.25">
      <c r="A201" s="1"/>
    </row>
    <row r="202" spans="1:8" x14ac:dyDescent="0.25">
      <c r="A202" s="1"/>
    </row>
    <row r="203" spans="1:8" x14ac:dyDescent="0.25">
      <c r="A203" s="1"/>
    </row>
    <row r="204" spans="1:8" x14ac:dyDescent="0.25">
      <c r="A204" s="1"/>
    </row>
    <row r="205" spans="1:8" x14ac:dyDescent="0.25">
      <c r="A205" s="1"/>
    </row>
    <row r="206" spans="1:8" x14ac:dyDescent="0.25">
      <c r="A206" s="1"/>
      <c r="H206" s="2"/>
    </row>
    <row r="207" spans="1:8" x14ac:dyDescent="0.25">
      <c r="A207" s="1"/>
    </row>
    <row r="208" spans="1:8" x14ac:dyDescent="0.25">
      <c r="A208" s="1"/>
    </row>
    <row r="209" spans="1:9" x14ac:dyDescent="0.25">
      <c r="A209" s="1"/>
    </row>
    <row r="210" spans="1:9" x14ac:dyDescent="0.25">
      <c r="A210" s="1"/>
    </row>
    <row r="211" spans="1:9" x14ac:dyDescent="0.25">
      <c r="A211" s="1"/>
    </row>
    <row r="212" spans="1:9" x14ac:dyDescent="0.25">
      <c r="A212" s="1"/>
      <c r="I212" s="26"/>
    </row>
    <row r="213" spans="1:9" x14ac:dyDescent="0.25">
      <c r="A213" s="1"/>
    </row>
    <row r="214" spans="1:9" x14ac:dyDescent="0.25">
      <c r="A214" s="1"/>
    </row>
    <row r="215" spans="1:9" x14ac:dyDescent="0.25">
      <c r="A215" s="1"/>
      <c r="I215" s="26"/>
    </row>
    <row r="216" spans="1:9" x14ac:dyDescent="0.25">
      <c r="A216" s="1"/>
    </row>
    <row r="217" spans="1:9" x14ac:dyDescent="0.25">
      <c r="A217" s="1"/>
      <c r="I217" s="26"/>
    </row>
    <row r="218" spans="1:9" x14ac:dyDescent="0.25">
      <c r="A218" s="1"/>
    </row>
    <row r="219" spans="1:9" x14ac:dyDescent="0.25">
      <c r="A219" s="1"/>
    </row>
    <row r="220" spans="1:9" x14ac:dyDescent="0.25">
      <c r="A220" s="1"/>
    </row>
    <row r="221" spans="1:9" x14ac:dyDescent="0.25">
      <c r="A221" s="1"/>
      <c r="C221" s="154"/>
    </row>
    <row r="222" spans="1:9" x14ac:dyDescent="0.25">
      <c r="A222" s="1"/>
      <c r="C222" s="154"/>
    </row>
    <row r="223" spans="1:9" x14ac:dyDescent="0.25">
      <c r="A223" s="1"/>
      <c r="C223" s="154"/>
    </row>
    <row r="224" spans="1:9" x14ac:dyDescent="0.25">
      <c r="A224" s="1"/>
      <c r="C224" s="154"/>
    </row>
    <row r="225" spans="1:9" x14ac:dyDescent="0.25">
      <c r="A225" s="1"/>
      <c r="C225" s="154"/>
      <c r="I225" s="26"/>
    </row>
    <row r="226" spans="1:9" x14ac:dyDescent="0.25">
      <c r="A226" s="1"/>
    </row>
    <row r="227" spans="1:9" x14ac:dyDescent="0.25">
      <c r="A227" s="1"/>
    </row>
    <row r="228" spans="1:9" x14ac:dyDescent="0.25">
      <c r="A228" s="1"/>
    </row>
    <row r="229" spans="1:9" x14ac:dyDescent="0.25">
      <c r="A229" s="1"/>
      <c r="I229" s="26"/>
    </row>
    <row r="230" spans="1:9" x14ac:dyDescent="0.25">
      <c r="A230" s="1"/>
    </row>
    <row r="231" spans="1:9" x14ac:dyDescent="0.25">
      <c r="A231" s="1"/>
    </row>
    <row r="232" spans="1:9" x14ac:dyDescent="0.25">
      <c r="A232" s="1"/>
    </row>
    <row r="233" spans="1:9" x14ac:dyDescent="0.25">
      <c r="A233" s="1"/>
      <c r="I233" s="26"/>
    </row>
    <row r="234" spans="1:9" x14ac:dyDescent="0.25">
      <c r="A234" s="1"/>
    </row>
    <row r="235" spans="1:9" x14ac:dyDescent="0.25">
      <c r="A235" s="1"/>
    </row>
    <row r="236" spans="1:9" x14ac:dyDescent="0.25">
      <c r="A236" s="1"/>
    </row>
    <row r="237" spans="1:9" x14ac:dyDescent="0.25">
      <c r="A237" s="1"/>
    </row>
    <row r="238" spans="1:9" x14ac:dyDescent="0.25">
      <c r="A238" s="1"/>
    </row>
    <row r="239" spans="1:9" x14ac:dyDescent="0.25">
      <c r="A239" s="1"/>
    </row>
    <row r="240" spans="1:9" x14ac:dyDescent="0.25">
      <c r="A240" s="1"/>
    </row>
    <row r="241" spans="1:9" x14ac:dyDescent="0.25">
      <c r="A241" s="1"/>
      <c r="I241" s="26"/>
    </row>
    <row r="242" spans="1:9" x14ac:dyDescent="0.25">
      <c r="A242" s="1"/>
    </row>
    <row r="243" spans="1:9" x14ac:dyDescent="0.25">
      <c r="A243" s="1"/>
    </row>
    <row r="244" spans="1:9" x14ac:dyDescent="0.25">
      <c r="A244" s="1"/>
    </row>
    <row r="245" spans="1:9" x14ac:dyDescent="0.25">
      <c r="A245" s="1"/>
    </row>
    <row r="246" spans="1:9" x14ac:dyDescent="0.25">
      <c r="A246" s="1"/>
      <c r="I246" s="26"/>
    </row>
    <row r="247" spans="1:9" x14ac:dyDescent="0.25">
      <c r="A247" s="1"/>
    </row>
    <row r="248" spans="1:9" x14ac:dyDescent="0.25">
      <c r="A248" s="1"/>
    </row>
    <row r="249" spans="1:9" x14ac:dyDescent="0.25">
      <c r="A249" s="1"/>
    </row>
    <row r="250" spans="1:9" x14ac:dyDescent="0.25">
      <c r="A250" s="1"/>
    </row>
    <row r="251" spans="1:9" x14ac:dyDescent="0.25">
      <c r="A251" s="1"/>
    </row>
    <row r="252" spans="1:9" x14ac:dyDescent="0.25">
      <c r="A252" s="1"/>
    </row>
    <row r="253" spans="1:9" x14ac:dyDescent="0.25">
      <c r="A253" s="1"/>
    </row>
    <row r="254" spans="1:9" x14ac:dyDescent="0.25">
      <c r="A254" s="1"/>
    </row>
    <row r="255" spans="1:9" x14ac:dyDescent="0.25">
      <c r="A255" s="1"/>
    </row>
    <row r="256" spans="1:9" x14ac:dyDescent="0.25">
      <c r="A256" s="1"/>
    </row>
    <row r="257" spans="1:9" x14ac:dyDescent="0.25">
      <c r="A257" s="1"/>
      <c r="I257" s="26"/>
    </row>
    <row r="258" spans="1:9" x14ac:dyDescent="0.25">
      <c r="A258" s="1"/>
    </row>
    <row r="259" spans="1:9" x14ac:dyDescent="0.25">
      <c r="A259" s="1"/>
    </row>
    <row r="260" spans="1:9" x14ac:dyDescent="0.25">
      <c r="A260" s="1"/>
    </row>
    <row r="261" spans="1:9" x14ac:dyDescent="0.25">
      <c r="A261" s="1"/>
      <c r="I261" s="26"/>
    </row>
    <row r="262" spans="1:9" x14ac:dyDescent="0.25">
      <c r="A262" s="1"/>
    </row>
    <row r="263" spans="1:9" x14ac:dyDescent="0.25">
      <c r="A263" s="1"/>
    </row>
    <row r="264" spans="1:9" x14ac:dyDescent="0.25">
      <c r="A264" s="1"/>
    </row>
    <row r="265" spans="1:9" x14ac:dyDescent="0.25">
      <c r="A265" s="1"/>
    </row>
    <row r="266" spans="1:9" x14ac:dyDescent="0.25">
      <c r="A266" s="1"/>
    </row>
    <row r="267" spans="1:9" x14ac:dyDescent="0.25">
      <c r="A267" s="1"/>
      <c r="I267" s="26"/>
    </row>
    <row r="268" spans="1:9" x14ac:dyDescent="0.25">
      <c r="A268" s="1"/>
    </row>
    <row r="269" spans="1:9" x14ac:dyDescent="0.25">
      <c r="A269" s="1"/>
    </row>
    <row r="270" spans="1:9" x14ac:dyDescent="0.25">
      <c r="A270" s="1"/>
    </row>
    <row r="271" spans="1:9" x14ac:dyDescent="0.25">
      <c r="A271" s="1"/>
    </row>
    <row r="272" spans="1:9" x14ac:dyDescent="0.25">
      <c r="A272" s="1"/>
    </row>
    <row r="273" spans="1:9" x14ac:dyDescent="0.25">
      <c r="A273" s="1"/>
    </row>
    <row r="274" spans="1:9" x14ac:dyDescent="0.25">
      <c r="A274" s="1"/>
    </row>
    <row r="275" spans="1:9" x14ac:dyDescent="0.25">
      <c r="A275" s="1"/>
    </row>
    <row r="276" spans="1:9" x14ac:dyDescent="0.25">
      <c r="A276" s="1"/>
      <c r="I276" s="26"/>
    </row>
    <row r="277" spans="1:9" x14ac:dyDescent="0.25">
      <c r="A277" s="1"/>
    </row>
    <row r="278" spans="1:9" x14ac:dyDescent="0.25">
      <c r="A278" s="1"/>
    </row>
    <row r="279" spans="1:9" x14ac:dyDescent="0.25">
      <c r="A279" s="1"/>
    </row>
    <row r="280" spans="1:9" x14ac:dyDescent="0.25">
      <c r="A280" s="1"/>
      <c r="I280" s="26"/>
    </row>
    <row r="281" spans="1:9" x14ac:dyDescent="0.25">
      <c r="A281" s="1"/>
    </row>
    <row r="282" spans="1:9" x14ac:dyDescent="0.25">
      <c r="A282" s="1"/>
    </row>
    <row r="283" spans="1:9" x14ac:dyDescent="0.25">
      <c r="A283" s="1"/>
    </row>
    <row r="284" spans="1:9" x14ac:dyDescent="0.25">
      <c r="A284" s="1"/>
    </row>
    <row r="285" spans="1:9" x14ac:dyDescent="0.25">
      <c r="A285" s="1"/>
    </row>
    <row r="286" spans="1:9" x14ac:dyDescent="0.25">
      <c r="A286" s="1"/>
    </row>
    <row r="287" spans="1:9" x14ac:dyDescent="0.25">
      <c r="A287" s="1"/>
    </row>
    <row r="288" spans="1:9" x14ac:dyDescent="0.25">
      <c r="A288" s="1"/>
    </row>
    <row r="289" spans="1:9" x14ac:dyDescent="0.25">
      <c r="A289" s="1"/>
    </row>
    <row r="290" spans="1:9" x14ac:dyDescent="0.25">
      <c r="A290" s="1"/>
    </row>
    <row r="291" spans="1:9" x14ac:dyDescent="0.25">
      <c r="A291" s="1"/>
    </row>
    <row r="292" spans="1:9" x14ac:dyDescent="0.25">
      <c r="A292" s="1"/>
    </row>
    <row r="293" spans="1:9" x14ac:dyDescent="0.25">
      <c r="A293" s="1"/>
    </row>
    <row r="294" spans="1:9" x14ac:dyDescent="0.25">
      <c r="A294" s="1"/>
    </row>
    <row r="295" spans="1:9" x14ac:dyDescent="0.25">
      <c r="A295" s="1"/>
    </row>
    <row r="296" spans="1:9" x14ac:dyDescent="0.25">
      <c r="A296" s="1"/>
    </row>
    <row r="297" spans="1:9" x14ac:dyDescent="0.25">
      <c r="A297" s="1"/>
    </row>
    <row r="298" spans="1:9" x14ac:dyDescent="0.25">
      <c r="A298" s="1"/>
    </row>
    <row r="299" spans="1:9" x14ac:dyDescent="0.25">
      <c r="A299" s="1"/>
      <c r="I299" s="26"/>
    </row>
    <row r="300" spans="1:9" x14ac:dyDescent="0.25">
      <c r="A300" s="1"/>
    </row>
    <row r="301" spans="1:9" x14ac:dyDescent="0.25">
      <c r="A301" s="1"/>
    </row>
    <row r="302" spans="1:9" x14ac:dyDescent="0.25">
      <c r="A302" s="1"/>
    </row>
    <row r="303" spans="1:9" x14ac:dyDescent="0.25">
      <c r="A303" s="1"/>
    </row>
    <row r="304" spans="1:9" x14ac:dyDescent="0.25">
      <c r="A304" s="1"/>
      <c r="I304" s="26"/>
    </row>
    <row r="305" spans="1:9" x14ac:dyDescent="0.25">
      <c r="A305" s="1"/>
    </row>
    <row r="306" spans="1:9" x14ac:dyDescent="0.25">
      <c r="A306" s="1"/>
    </row>
    <row r="307" spans="1:9" x14ac:dyDescent="0.25">
      <c r="A307" s="1"/>
    </row>
    <row r="308" spans="1:9" x14ac:dyDescent="0.25">
      <c r="A308" s="1"/>
    </row>
    <row r="309" spans="1:9" x14ac:dyDescent="0.25">
      <c r="A309" s="1"/>
    </row>
    <row r="310" spans="1:9" x14ac:dyDescent="0.25">
      <c r="A310" s="1"/>
      <c r="I310" s="26"/>
    </row>
    <row r="311" spans="1:9" x14ac:dyDescent="0.25">
      <c r="A311" s="1"/>
    </row>
    <row r="312" spans="1:9" x14ac:dyDescent="0.25">
      <c r="A312" s="1"/>
    </row>
    <row r="313" spans="1:9" x14ac:dyDescent="0.25">
      <c r="A313" s="1"/>
    </row>
    <row r="314" spans="1:9" x14ac:dyDescent="0.25">
      <c r="A314" s="1"/>
    </row>
    <row r="315" spans="1:9" x14ac:dyDescent="0.25">
      <c r="A315" s="1"/>
    </row>
  </sheetData>
  <autoFilter ref="A3:I313">
    <sortState ref="A4:I849">
      <sortCondition ref="A4"/>
    </sortState>
  </autoFilter>
  <sortState caseSensitive="1" ref="A4:I293">
    <sortCondition ref="A293"/>
  </sortState>
  <pageMargins left="0.7" right="0.7" top="0.75" bottom="0.75" header="0.3" footer="0.3"/>
  <pageSetup paperSize="9" orientation="portrait" horizontalDpi="0" verticalDpi="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R37"/>
  <sheetViews>
    <sheetView workbookViewId="0">
      <selection activeCell="R25" sqref="R25"/>
    </sheetView>
  </sheetViews>
  <sheetFormatPr baseColWidth="10" defaultRowHeight="15" x14ac:dyDescent="0.25"/>
  <cols>
    <col min="1" max="1" width="29.85546875" bestFit="1" customWidth="1"/>
    <col min="2" max="2" width="9.5703125" bestFit="1" customWidth="1"/>
    <col min="15" max="15" width="14.7109375" customWidth="1"/>
  </cols>
  <sheetData>
    <row r="1" spans="1:18" ht="26.25" x14ac:dyDescent="0.4">
      <c r="A1" s="47" t="s">
        <v>6</v>
      </c>
      <c r="B1" s="135" t="s">
        <v>348</v>
      </c>
      <c r="C1" s="53">
        <f>SUM(C3,C8,C15,C19,C25)</f>
        <v>0</v>
      </c>
      <c r="D1" s="53">
        <f t="shared" ref="D1:N1" si="0">SUM(D3,D8,D15,D19,D25)</f>
        <v>0</v>
      </c>
      <c r="E1" s="53">
        <f t="shared" si="0"/>
        <v>0</v>
      </c>
      <c r="F1" s="53">
        <f t="shared" si="0"/>
        <v>0</v>
      </c>
      <c r="G1" s="53">
        <f t="shared" si="0"/>
        <v>0</v>
      </c>
      <c r="H1" s="53">
        <f t="shared" si="0"/>
        <v>0</v>
      </c>
      <c r="I1" s="53">
        <f t="shared" si="0"/>
        <v>0</v>
      </c>
      <c r="J1" s="53">
        <f t="shared" si="0"/>
        <v>0</v>
      </c>
      <c r="K1" s="53">
        <f t="shared" si="0"/>
        <v>0</v>
      </c>
      <c r="L1" s="53">
        <f t="shared" si="0"/>
        <v>0</v>
      </c>
      <c r="M1" s="53">
        <f t="shared" si="0"/>
        <v>0</v>
      </c>
      <c r="N1" s="53">
        <f t="shared" si="0"/>
        <v>0</v>
      </c>
      <c r="O1" s="53">
        <f>O3+O8+O15+O19+O25+O31</f>
        <v>0</v>
      </c>
      <c r="P1" t="s">
        <v>0</v>
      </c>
      <c r="Q1" s="1">
        <f ca="1">TODAY()</f>
        <v>43579</v>
      </c>
      <c r="R1" t="s">
        <v>80</v>
      </c>
    </row>
    <row r="2" spans="1:18" ht="30" x14ac:dyDescent="0.25">
      <c r="B2" s="16" t="s">
        <v>120</v>
      </c>
      <c r="C2" t="s">
        <v>7</v>
      </c>
      <c r="D2" t="s">
        <v>8</v>
      </c>
      <c r="E2" t="s">
        <v>9</v>
      </c>
      <c r="F2" t="s">
        <v>10</v>
      </c>
      <c r="G2" t="s">
        <v>11</v>
      </c>
      <c r="H2" t="s">
        <v>12</v>
      </c>
      <c r="I2" t="s">
        <v>13</v>
      </c>
      <c r="J2" t="s">
        <v>14</v>
      </c>
      <c r="K2" t="s">
        <v>15</v>
      </c>
      <c r="L2" t="s">
        <v>16</v>
      </c>
      <c r="M2" t="s">
        <v>17</v>
      </c>
      <c r="N2" t="s">
        <v>18</v>
      </c>
      <c r="O2" t="s">
        <v>3</v>
      </c>
      <c r="P2" t="s">
        <v>79</v>
      </c>
      <c r="Q2">
        <f ca="1">MONTH(Q1)</f>
        <v>4</v>
      </c>
      <c r="R2" s="12">
        <f ca="1">O1/Q2</f>
        <v>0</v>
      </c>
    </row>
    <row r="3" spans="1:18" x14ac:dyDescent="0.25">
      <c r="A3" s="8" t="s">
        <v>36</v>
      </c>
      <c r="B3" s="8">
        <v>100</v>
      </c>
      <c r="C3" s="9">
        <f>SUM(C4:C7)</f>
        <v>0</v>
      </c>
      <c r="D3" s="9">
        <f>SUM(D4:D7)</f>
        <v>0</v>
      </c>
      <c r="E3" s="9">
        <f t="shared" ref="E3:N3" si="1">SUM(E4:E7)</f>
        <v>0</v>
      </c>
      <c r="F3" s="9">
        <f t="shared" si="1"/>
        <v>0</v>
      </c>
      <c r="G3" s="9">
        <f t="shared" si="1"/>
        <v>0</v>
      </c>
      <c r="H3" s="9">
        <f t="shared" si="1"/>
        <v>0</v>
      </c>
      <c r="I3" s="9">
        <f t="shared" si="1"/>
        <v>0</v>
      </c>
      <c r="J3" s="9">
        <f t="shared" si="1"/>
        <v>0</v>
      </c>
      <c r="K3" s="9">
        <f t="shared" si="1"/>
        <v>0</v>
      </c>
      <c r="L3" s="9">
        <f t="shared" si="1"/>
        <v>0</v>
      </c>
      <c r="M3" s="9">
        <f t="shared" si="1"/>
        <v>0</v>
      </c>
      <c r="N3" s="9">
        <f t="shared" si="1"/>
        <v>0</v>
      </c>
      <c r="O3" s="9">
        <f>SUM(C3:N3)</f>
        <v>0</v>
      </c>
    </row>
    <row r="4" spans="1:18" x14ac:dyDescent="0.25">
      <c r="A4" t="s">
        <v>37</v>
      </c>
      <c r="B4">
        <v>101</v>
      </c>
      <c r="C4" s="4">
        <f>SUMIFS(Einn._Liste!$G$4:$G$1000,Einn._Liste!$E$4:$E$1000,101,Einn._Liste!$F$4:$F$1000,1)</f>
        <v>0</v>
      </c>
      <c r="D4" s="4">
        <f>SUMIFS(Einn._Liste!$G$4:$G$1000,Einn._Liste!$E$4:$E$1000,101,Einn._Liste!$F$4:$F$1000,2)</f>
        <v>0</v>
      </c>
      <c r="E4" s="4">
        <f>SUMIFS(Einn._Liste!$G$4:$G$1000,Einn._Liste!$E$4:$E$1000,101,Einn._Liste!$F$4:$F$1000,3)</f>
        <v>0</v>
      </c>
      <c r="F4" s="4">
        <f>SUMIFS(Einn._Liste!$G$4:$G$1000,Einn._Liste!$E$4:$E$1000,101,Einn._Liste!$F$4:$F$1000,4)</f>
        <v>0</v>
      </c>
      <c r="G4" s="4">
        <f>SUMIFS(Einn._Liste!$G$4:$G$1000,Einn._Liste!$E$4:$E$1000,101,Einn._Liste!$F$4:$F$1000,5)</f>
        <v>0</v>
      </c>
      <c r="H4" s="4">
        <f>SUMIFS(Einn._Liste!$G$4:$G$1000,Einn._Liste!$E$4:$E$1000,101,Einn._Liste!$F$4:$F$1000,6)</f>
        <v>0</v>
      </c>
      <c r="I4" s="4">
        <f>SUMIFS(Einn._Liste!$G$4:$G$1000,Einn._Liste!$E$4:$E$1000,101,Einn._Liste!$F$4:$F$1000,7)</f>
        <v>0</v>
      </c>
      <c r="J4" s="4">
        <f>SUMIFS(Einn._Liste!$G$4:$G$1000,Einn._Liste!$E$4:$E$1000,101,Einn._Liste!$F$4:$F$1000,8)</f>
        <v>0</v>
      </c>
      <c r="K4" s="4">
        <f>SUMIFS(Einn._Liste!$G$4:$G$1000,Einn._Liste!$E$4:$E$1000,101,Einn._Liste!$F$4:$F$1000,9)</f>
        <v>0</v>
      </c>
      <c r="L4" s="4">
        <f>SUMIFS(Einn._Liste!$G$4:$G$1000,Einn._Liste!$E$4:$E$1000,101,Einn._Liste!$F$4:$F$1000,10)</f>
        <v>0</v>
      </c>
      <c r="M4" s="4">
        <f>SUMIFS(Einn._Liste!$G$4:$G$1000,Einn._Liste!$E$4:$E$1000,101,Einn._Liste!$F$4:$F$1000,11)</f>
        <v>0</v>
      </c>
      <c r="N4" s="4">
        <f>SUMIFS(Einn._Liste!$G$4:$G$1000,Einn._Liste!$E$4:$E$1000,101,Einn._Liste!$F$4:$F$1000,12)</f>
        <v>0</v>
      </c>
      <c r="O4" s="4">
        <f t="shared" ref="O4:O30" si="2">SUM(C4:N4)</f>
        <v>0</v>
      </c>
    </row>
    <row r="5" spans="1:18" x14ac:dyDescent="0.25">
      <c r="A5" t="s">
        <v>21</v>
      </c>
      <c r="B5">
        <v>102</v>
      </c>
      <c r="C5" s="4">
        <f>SUMIFS(Einn._Liste!$G$4:$G$1000,Einn._Liste!$E$4:$E$1000,102,Einn._Liste!$F$4:$F$1000,1)</f>
        <v>0</v>
      </c>
      <c r="D5" s="4">
        <f>SUMIFS(Einn._Liste!$G$4:$G$1000,Einn._Liste!$E$4:$E$1000,102,Einn._Liste!$F$4:$F$1000,2)</f>
        <v>0</v>
      </c>
      <c r="E5" s="4">
        <f>SUMIFS(Einn._Liste!$G$4:$G$1000,Einn._Liste!$E$4:$E$1000,102,Einn._Liste!$F$4:$F$1000,3)</f>
        <v>0</v>
      </c>
      <c r="F5" s="4">
        <f>SUMIFS(Einn._Liste!$G$4:$G$1000,Einn._Liste!$E$4:$E$1000,102,Einn._Liste!$F$4:$F$1000,4)</f>
        <v>0</v>
      </c>
      <c r="G5" s="4">
        <f>SUMIFS(Einn._Liste!$G$4:$G$1000,Einn._Liste!$E$4:$E$1000,102,Einn._Liste!$F$4:$F$1000,5)</f>
        <v>0</v>
      </c>
      <c r="H5" s="4">
        <f>SUMIFS(Einn._Liste!$G$4:$G$1000,Einn._Liste!$E$4:$E$1000,102,Einn._Liste!$F$4:$F$1000,6)</f>
        <v>0</v>
      </c>
      <c r="I5" s="4">
        <f>SUMIFS(Einn._Liste!$G$4:$G$1000,Einn._Liste!$E$4:$E$1000,102,Einn._Liste!$F$4:$F$1000,7)</f>
        <v>0</v>
      </c>
      <c r="J5" s="4">
        <f>SUMIFS(Einn._Liste!$G$4:$G$1000,Einn._Liste!$E$4:$E$1000,102,Einn._Liste!$F$4:$F$1000,8)</f>
        <v>0</v>
      </c>
      <c r="K5" s="4">
        <f>SUMIFS(Einn._Liste!$G$4:$G$1000,Einn._Liste!$E$4:$E$1000,102,Einn._Liste!$F$4:$F$1000,9)</f>
        <v>0</v>
      </c>
      <c r="L5" s="4">
        <f>SUMIFS(Einn._Liste!$G$4:$G$1000,Einn._Liste!$E$4:$E$1000,102,Einn._Liste!$F$4:$F$1000,10)</f>
        <v>0</v>
      </c>
      <c r="M5" s="4">
        <f>SUMIFS(Einn._Liste!$G$4:$G$1000,Einn._Liste!$E$4:$E$1000,102,Einn._Liste!$F$4:$F$1000,11)</f>
        <v>0</v>
      </c>
      <c r="N5" s="4">
        <f>SUMIFS(Einn._Liste!$G$4:$G$1000,Einn._Liste!$E$4:$E$1000,102,Einn._Liste!$F$4:$F$1000,12)</f>
        <v>0</v>
      </c>
      <c r="O5" s="4">
        <f t="shared" si="2"/>
        <v>0</v>
      </c>
    </row>
    <row r="6" spans="1:18" x14ac:dyDescent="0.25">
      <c r="A6" t="s">
        <v>22</v>
      </c>
      <c r="B6">
        <v>103</v>
      </c>
      <c r="C6" s="4">
        <f>SUMIFS(Einn._Liste!$G$4:$G$1000,Einn._Liste!$E$4:$E$1000,103,Einn._Liste!$F$4:$F$1000,1)</f>
        <v>0</v>
      </c>
      <c r="D6" s="4">
        <f>SUMIFS(Einn._Liste!$G$4:$G$1000,Einn._Liste!$E$4:$E$1000,103,Einn._Liste!$F$4:$F$1000,2)</f>
        <v>0</v>
      </c>
      <c r="E6" s="4">
        <f>SUMIFS(Einn._Liste!$G$4:$G$1000,Einn._Liste!$E$4:$E$1000,103,Einn._Liste!$F$4:$F$1000,3)</f>
        <v>0</v>
      </c>
      <c r="F6" s="4">
        <f>SUMIFS(Einn._Liste!$G$4:$G$1000,Einn._Liste!$E$4:$E$1000,103,Einn._Liste!$F$4:$F$1000,4)</f>
        <v>0</v>
      </c>
      <c r="G6" s="4">
        <f>SUMIFS(Einn._Liste!$G$4:$G$1000,Einn._Liste!$E$4:$E$1000,103,Einn._Liste!$F$4:$F$1000,5)</f>
        <v>0</v>
      </c>
      <c r="H6" s="4">
        <f>SUMIFS(Einn._Liste!$G$4:$G$1000,Einn._Liste!$E$4:$E$1000,103,Einn._Liste!$F$4:$F$1000,6)</f>
        <v>0</v>
      </c>
      <c r="I6" s="4">
        <f>SUMIFS(Einn._Liste!$G$4:$G$1000,Einn._Liste!$E$4:$E$1000,103,Einn._Liste!$F$4:$F$1000,7)</f>
        <v>0</v>
      </c>
      <c r="J6" s="4">
        <f>SUMIFS(Einn._Liste!$G$4:$G$1000,Einn._Liste!$E$4:$E$1000,103,Einn._Liste!$F$4:$F$1000,8)</f>
        <v>0</v>
      </c>
      <c r="K6" s="4">
        <f>SUMIFS(Einn._Liste!$G$4:$G$1000,Einn._Liste!$E$4:$E$1000,103,Einn._Liste!$F$4:$F$1000,9)</f>
        <v>0</v>
      </c>
      <c r="L6" s="4">
        <f>SUMIFS(Einn._Liste!$G$4:$G$1000,Einn._Liste!$E$4:$E$1000,103,Einn._Liste!$F$4:$F$1000,10)</f>
        <v>0</v>
      </c>
      <c r="M6" s="4">
        <f>SUMIFS(Einn._Liste!$G$4:$G$1000,Einn._Liste!$E$4:$E$1000,103,Einn._Liste!$F$4:$F$1000,11)</f>
        <v>0</v>
      </c>
      <c r="N6" s="4">
        <f>SUMIFS(Einn._Liste!$G$4:$G$1000,Einn._Liste!$E$4:$E$1000,103,Einn._Liste!$F$4:$F$1000,12)</f>
        <v>0</v>
      </c>
      <c r="O6" s="4">
        <f t="shared" si="2"/>
        <v>0</v>
      </c>
    </row>
    <row r="7" spans="1:18" x14ac:dyDescent="0.25">
      <c r="A7" t="s">
        <v>20</v>
      </c>
      <c r="B7">
        <v>104</v>
      </c>
      <c r="C7" s="4">
        <f>SUMIFS(Einn._Liste!$G$4:$G$1000,Einn._Liste!$E$4:$E$1000,104,Einn._Liste!$F$4:$F$1000,1)</f>
        <v>0</v>
      </c>
      <c r="D7" s="4">
        <f>SUMIFS(Einn._Liste!$G$4:$G$1000,Einn._Liste!$E$4:$E$1000,104,Einn._Liste!$F$4:$F$1000,2)</f>
        <v>0</v>
      </c>
      <c r="E7" s="4">
        <f>SUMIFS(Einn._Liste!$G$4:$G$1000,Einn._Liste!$E$4:$E$1000,104,Einn._Liste!$F$4:$F$1000,3)</f>
        <v>0</v>
      </c>
      <c r="F7" s="4">
        <f>SUMIFS(Einn._Liste!$G$4:$G$1000,Einn._Liste!$E$4:$E$1000,104,Einn._Liste!$F$4:$F$1000,4)</f>
        <v>0</v>
      </c>
      <c r="G7" s="4">
        <f>SUMIFS(Einn._Liste!$G$4:$G$1000,Einn._Liste!$E$4:$E$1000,104,Einn._Liste!$F$4:$F$1000,5)</f>
        <v>0</v>
      </c>
      <c r="H7" s="4">
        <f>SUMIFS(Einn._Liste!$G$4:$G$1000,Einn._Liste!$E$4:$E$1000,104,Einn._Liste!$F$4:$F$1000,6)</f>
        <v>0</v>
      </c>
      <c r="I7" s="4">
        <f>SUMIFS(Einn._Liste!$G$4:$G$1000,Einn._Liste!$E$4:$E$1000,104,Einn._Liste!$F$4:$F$1000,7)</f>
        <v>0</v>
      </c>
      <c r="J7" s="4">
        <f>SUMIFS(Einn._Liste!$G$4:$G$1000,Einn._Liste!$E$4:$E$1000,104,Einn._Liste!$F$4:$F$1000,8)</f>
        <v>0</v>
      </c>
      <c r="K7" s="4">
        <f>SUMIFS(Einn._Liste!$G$4:$G$1000,Einn._Liste!$E$4:$E$1000,104,Einn._Liste!$F$4:$F$1000,9)</f>
        <v>0</v>
      </c>
      <c r="L7" s="4">
        <f>SUMIFS(Einn._Liste!$G$4:$G$1000,Einn._Liste!$E$4:$E$1000,104,Einn._Liste!$F$4:$F$1000,10)</f>
        <v>0</v>
      </c>
      <c r="M7" s="4">
        <f>SUMIFS(Einn._Liste!$G$4:$G$1000,Einn._Liste!$E$4:$E$1000,104,Einn._Liste!$F$4:$F$1000,11)</f>
        <v>0</v>
      </c>
      <c r="N7" s="4">
        <f>SUMIFS(Einn._Liste!$G$4:$G$1000,Einn._Liste!$E$4:$E$1000,104,Einn._Liste!$F$4:$F$1000,12)</f>
        <v>0</v>
      </c>
      <c r="O7" s="4">
        <f t="shared" si="2"/>
        <v>0</v>
      </c>
    </row>
    <row r="8" spans="1:18" x14ac:dyDescent="0.25">
      <c r="A8" s="8" t="s">
        <v>38</v>
      </c>
      <c r="B8" s="8">
        <v>110</v>
      </c>
      <c r="C8" s="9">
        <f>SUM(C9:C14)</f>
        <v>0</v>
      </c>
      <c r="D8" s="9">
        <f t="shared" ref="D8:N8" si="3">SUM(D9:D14)</f>
        <v>0</v>
      </c>
      <c r="E8" s="9">
        <f t="shared" si="3"/>
        <v>0</v>
      </c>
      <c r="F8" s="9">
        <f t="shared" si="3"/>
        <v>0</v>
      </c>
      <c r="G8" s="9">
        <f t="shared" si="3"/>
        <v>0</v>
      </c>
      <c r="H8" s="9">
        <f t="shared" si="3"/>
        <v>0</v>
      </c>
      <c r="I8" s="9">
        <f t="shared" si="3"/>
        <v>0</v>
      </c>
      <c r="J8" s="9">
        <f t="shared" si="3"/>
        <v>0</v>
      </c>
      <c r="K8" s="9">
        <f t="shared" si="3"/>
        <v>0</v>
      </c>
      <c r="L8" s="9">
        <f t="shared" si="3"/>
        <v>0</v>
      </c>
      <c r="M8" s="9">
        <f t="shared" si="3"/>
        <v>0</v>
      </c>
      <c r="N8" s="9">
        <f t="shared" si="3"/>
        <v>0</v>
      </c>
      <c r="O8" s="9">
        <f t="shared" si="2"/>
        <v>0</v>
      </c>
    </row>
    <row r="9" spans="1:18" x14ac:dyDescent="0.25">
      <c r="A9" t="s">
        <v>23</v>
      </c>
      <c r="B9">
        <v>111</v>
      </c>
      <c r="C9" s="4">
        <f>SUMIFS(Einn._Liste!$G$4:$G$1000,Einn._Liste!$E$4:$E$1000,111,Einn._Liste!$F$4:$F$1000,1)</f>
        <v>0</v>
      </c>
      <c r="D9" s="4">
        <f>SUMIFS(Einn._Liste!$G$4:$G$1000,Einn._Liste!$E$4:$E$1000,111,Einn._Liste!$F$4:$F$1000,2)</f>
        <v>0</v>
      </c>
      <c r="E9" s="4">
        <f>SUMIFS(Einn._Liste!$G$4:$G$1000,Einn._Liste!$E$4:$E$1000,111,Einn._Liste!$F$4:$F$1000,3)</f>
        <v>0</v>
      </c>
      <c r="F9" s="4">
        <f>SUMIFS(Einn._Liste!$G$4:$G$1000,Einn._Liste!$E$4:$E$1000,111,Einn._Liste!$F$4:$F$1000,4)</f>
        <v>0</v>
      </c>
      <c r="G9" s="4">
        <f>SUMIFS(Einn._Liste!$G$4:$G$1000,Einn._Liste!$E$4:$E$1000,111,Einn._Liste!$F$4:$F$1000,5)</f>
        <v>0</v>
      </c>
      <c r="H9" s="4">
        <f>SUMIFS(Einn._Liste!$G$4:$G$1000,Einn._Liste!$E$4:$E$1000,111,Einn._Liste!$F$4:$F$1000,6)</f>
        <v>0</v>
      </c>
      <c r="I9" s="4">
        <f>SUMIFS(Einn._Liste!$G$4:$G$1000,Einn._Liste!$E$4:$E$1000,111,Einn._Liste!$F$4:$F$1000,7)</f>
        <v>0</v>
      </c>
      <c r="J9" s="4">
        <f>SUMIFS(Einn._Liste!$G$4:$G$1000,Einn._Liste!$E$4:$E$1000,111,Einn._Liste!$F$4:$F$1000,8)</f>
        <v>0</v>
      </c>
      <c r="K9" s="4">
        <f>SUMIFS(Einn._Liste!$G$4:$G$1000,Einn._Liste!$E$4:$E$1000,111,Einn._Liste!$F$4:$F$1000,9)</f>
        <v>0</v>
      </c>
      <c r="L9" s="4">
        <f>SUMIFS(Einn._Liste!$G$4:$G$1000,Einn._Liste!$E$4:$E$1000,111,Einn._Liste!$F$4:$F$1000,10)</f>
        <v>0</v>
      </c>
      <c r="M9" s="4">
        <f>SUMIFS(Einn._Liste!$G$4:$G$1000,Einn._Liste!$E$4:$E$1000,111,Einn._Liste!$F$4:$F$1000,11)</f>
        <v>0</v>
      </c>
      <c r="N9" s="4">
        <f>SUMIFS(Einn._Liste!$G$4:$G$1000,Einn._Liste!$E$4:$E$1000,111,Einn._Liste!$F$4:$F$1000,12)</f>
        <v>0</v>
      </c>
      <c r="O9" s="4">
        <f t="shared" si="2"/>
        <v>0</v>
      </c>
    </row>
    <row r="10" spans="1:18" x14ac:dyDescent="0.25">
      <c r="A10" t="s">
        <v>24</v>
      </c>
      <c r="B10">
        <v>112</v>
      </c>
      <c r="C10" s="4">
        <f>SUMIFS(Einn._Liste!$G$4:$G$1000,Einn._Liste!$E$4:$E$1000,112,Einn._Liste!$F$4:$F$1000,1)</f>
        <v>0</v>
      </c>
      <c r="D10" s="4">
        <f>SUMIFS(Einn._Liste!$G$4:$G$1000,Einn._Liste!$E$4:$E$1000,112,Einn._Liste!$F$4:$F$1000,2)</f>
        <v>0</v>
      </c>
      <c r="E10" s="4">
        <f>SUMIFS(Einn._Liste!$G$4:$G$1000,Einn._Liste!$E$4:$E$1000,112,Einn._Liste!$F$4:$F$1000,3)</f>
        <v>0</v>
      </c>
      <c r="F10" s="4">
        <f>SUMIFS(Einn._Liste!$G$4:$G$1000,Einn._Liste!$E$4:$E$1000,112,Einn._Liste!$F$4:$F$1000,4)</f>
        <v>0</v>
      </c>
      <c r="G10" s="4">
        <f>SUMIFS(Einn._Liste!$G$4:$G$1000,Einn._Liste!$E$4:$E$1000,112,Einn._Liste!$F$4:$F$1000,5)</f>
        <v>0</v>
      </c>
      <c r="H10" s="4">
        <f>SUMIFS(Einn._Liste!$G$4:$G$1000,Einn._Liste!$E$4:$E$1000,112,Einn._Liste!$F$4:$F$1000,6)</f>
        <v>0</v>
      </c>
      <c r="I10" s="4">
        <f>SUMIFS(Einn._Liste!$G$4:$G$1000,Einn._Liste!$E$4:$E$1000,112,Einn._Liste!$F$4:$F$1000,7)</f>
        <v>0</v>
      </c>
      <c r="J10" s="4">
        <f>SUMIFS(Einn._Liste!$G$4:$G$1000,Einn._Liste!$E$4:$E$1000,112,Einn._Liste!$F$4:$F$1000,8)</f>
        <v>0</v>
      </c>
      <c r="K10" s="4">
        <f>SUMIFS(Einn._Liste!$G$4:$G$1000,Einn._Liste!$E$4:$E$1000,112,Einn._Liste!$F$4:$F$1000,9)</f>
        <v>0</v>
      </c>
      <c r="L10" s="4">
        <f>SUMIFS(Einn._Liste!$G$4:$G$1000,Einn._Liste!$E$4:$E$1000,112,Einn._Liste!$F$4:$F$1000,10)</f>
        <v>0</v>
      </c>
      <c r="M10" s="4">
        <f>SUMIFS(Einn._Liste!$G$4:$G$1000,Einn._Liste!$E$4:$E$1000,112,Einn._Liste!$F$4:$F$1000,11)</f>
        <v>0</v>
      </c>
      <c r="N10" s="4">
        <f>SUMIFS(Einn._Liste!$G$4:$G$1000,Einn._Liste!$E$4:$E$1000,112,Einn._Liste!$F$4:$F$1000,12)</f>
        <v>0</v>
      </c>
      <c r="O10" s="4">
        <f t="shared" si="2"/>
        <v>0</v>
      </c>
    </row>
    <row r="11" spans="1:18" x14ac:dyDescent="0.25">
      <c r="A11" t="s">
        <v>25</v>
      </c>
      <c r="B11">
        <v>113</v>
      </c>
      <c r="C11" s="4">
        <f>SUMIFS(Einn._Liste!$G$4:$G$1000,Einn._Liste!$E$4:$E$1000,113,Einn._Liste!$F$4:$F$1000,1)</f>
        <v>0</v>
      </c>
      <c r="D11" s="4">
        <f>SUMIFS(Einn._Liste!$G$4:$G$1000,Einn._Liste!$E$4:$E$1000,113,Einn._Liste!$F$4:$F$1000,2)</f>
        <v>0</v>
      </c>
      <c r="E11" s="4">
        <f>SUMIFS(Einn._Liste!$G$4:$G$1000,Einn._Liste!$E$4:$E$1000,113,Einn._Liste!$F$4:$F$1000,3)</f>
        <v>0</v>
      </c>
      <c r="F11" s="4">
        <f>SUMIFS(Einn._Liste!$G$4:$G$1000,Einn._Liste!$E$4:$E$1000,113,Einn._Liste!$F$4:$F$1000,4)</f>
        <v>0</v>
      </c>
      <c r="G11" s="4">
        <f>SUMIFS(Einn._Liste!$G$4:$G$1000,Einn._Liste!$E$4:$E$1000,113,Einn._Liste!$F$4:$F$1000,5)</f>
        <v>0</v>
      </c>
      <c r="H11" s="4">
        <f>SUMIFS(Einn._Liste!$G$4:$G$1000,Einn._Liste!$E$4:$E$1000,113,Einn._Liste!$F$4:$F$1000,6)</f>
        <v>0</v>
      </c>
      <c r="I11" s="4">
        <f>SUMIFS(Einn._Liste!$G$4:$G$1000,Einn._Liste!$E$4:$E$1000,113,Einn._Liste!$F$4:$F$1000,7)</f>
        <v>0</v>
      </c>
      <c r="J11" s="4">
        <f>SUMIFS(Einn._Liste!$G$4:$G$1000,Einn._Liste!$E$4:$E$1000,113,Einn._Liste!$F$4:$F$1000,8)</f>
        <v>0</v>
      </c>
      <c r="K11" s="4">
        <f>SUMIFS(Einn._Liste!$G$4:$G$1000,Einn._Liste!$E$4:$E$1000,113,Einn._Liste!$F$4:$F$1000,9)</f>
        <v>0</v>
      </c>
      <c r="L11" s="4">
        <f>SUMIFS(Einn._Liste!$G$4:$G$1000,Einn._Liste!$E$4:$E$1000,113,Einn._Liste!$F$4:$F$1000,10)</f>
        <v>0</v>
      </c>
      <c r="M11" s="4">
        <f>SUMIFS(Einn._Liste!$G$4:$G$1000,Einn._Liste!$E$4:$E$1000,113,Einn._Liste!$F$4:$F$1000,11)</f>
        <v>0</v>
      </c>
      <c r="N11" s="4">
        <f>SUMIFS(Einn._Liste!$G$4:$G$1000,Einn._Liste!$E$4:$E$1000,113,Einn._Liste!$F$4:$F$1000,12)</f>
        <v>0</v>
      </c>
      <c r="O11" s="4">
        <f t="shared" si="2"/>
        <v>0</v>
      </c>
    </row>
    <row r="12" spans="1:18" x14ac:dyDescent="0.25">
      <c r="A12" t="s">
        <v>19</v>
      </c>
      <c r="B12">
        <v>114</v>
      </c>
      <c r="C12" s="4">
        <f>SUMIFS(Einn._Liste!$G$4:$G$1000,Einn._Liste!$E$4:$E$1000,114,Einn._Liste!$F$4:$F$1000,1)</f>
        <v>0</v>
      </c>
      <c r="D12" s="4">
        <f>SUMIFS(Einn._Liste!$G$4:$G$1000,Einn._Liste!$E$4:$E$1000,114,Einn._Liste!$F$4:$F$1000,2)</f>
        <v>0</v>
      </c>
      <c r="E12" s="4">
        <f>SUMIFS(Einn._Liste!$G$4:$G$1000,Einn._Liste!$E$4:$E$1000,114,Einn._Liste!$F$4:$F$1000,3)</f>
        <v>0</v>
      </c>
      <c r="F12" s="4">
        <f>SUMIFS(Einn._Liste!$G$4:$G$1000,Einn._Liste!$E$4:$E$1000,114,Einn._Liste!$F$4:$F$1000,4)</f>
        <v>0</v>
      </c>
      <c r="G12" s="4">
        <f>SUMIFS(Einn._Liste!$G$4:$G$1000,Einn._Liste!$E$4:$E$1000,114,Einn._Liste!$F$4:$F$1000,5)</f>
        <v>0</v>
      </c>
      <c r="H12" s="4">
        <f>SUMIFS(Einn._Liste!$G$4:$G$1000,Einn._Liste!$E$4:$E$1000,114,Einn._Liste!$F$4:$F$1000,6)</f>
        <v>0</v>
      </c>
      <c r="I12" s="4">
        <f>SUMIFS(Einn._Liste!$G$4:$G$1000,Einn._Liste!$E$4:$E$1000,114,Einn._Liste!$F$4:$F$1000,7)</f>
        <v>0</v>
      </c>
      <c r="J12" s="4">
        <f>SUMIFS(Einn._Liste!$G$4:$G$1000,Einn._Liste!$E$4:$E$1000,114,Einn._Liste!$F$4:$F$1000,8)</f>
        <v>0</v>
      </c>
      <c r="K12" s="4">
        <f>SUMIFS(Einn._Liste!$G$4:$G$1000,Einn._Liste!$E$4:$E$1000,114,Einn._Liste!$F$4:$F$1000,9)</f>
        <v>0</v>
      </c>
      <c r="L12" s="4">
        <f>SUMIFS(Einn._Liste!$G$4:$G$1000,Einn._Liste!$E$4:$E$1000,114,Einn._Liste!$F$4:$F$1000,10)</f>
        <v>0</v>
      </c>
      <c r="M12" s="4">
        <f>SUMIFS(Einn._Liste!$G$4:$G$1000,Einn._Liste!$E$4:$E$1000,114,Einn._Liste!$F$4:$F$1000,11)</f>
        <v>0</v>
      </c>
      <c r="N12" s="4">
        <f>SUMIFS(Einn._Liste!$G$4:$G$1000,Einn._Liste!$E$4:$E$1000,114,Einn._Liste!$F$4:$F$1000,12)</f>
        <v>0</v>
      </c>
      <c r="O12" s="4">
        <f t="shared" si="2"/>
        <v>0</v>
      </c>
    </row>
    <row r="13" spans="1:18" x14ac:dyDescent="0.25">
      <c r="A13" t="s">
        <v>26</v>
      </c>
      <c r="B13">
        <v>115</v>
      </c>
      <c r="C13" s="4">
        <f>SUMIFS(Einn._Liste!$G$4:$G$1000,Einn._Liste!$E$4:$E$1000,115,Einn._Liste!$F$4:$F$1000,1)</f>
        <v>0</v>
      </c>
      <c r="D13" s="4">
        <f>SUMIFS(Einn._Liste!$G$4:$G$1000,Einn._Liste!$E$4:$E$1000,115,Einn._Liste!$F$4:$F$1000,2)</f>
        <v>0</v>
      </c>
      <c r="E13" s="4">
        <f>SUMIFS(Einn._Liste!$G$4:$G$1000,Einn._Liste!$E$4:$E$1000,115,Einn._Liste!$F$4:$F$1000,3)</f>
        <v>0</v>
      </c>
      <c r="F13" s="4">
        <f>SUMIFS(Einn._Liste!$G$4:$G$1000,Einn._Liste!$E$4:$E$1000,115,Einn._Liste!$F$4:$F$1000,4)</f>
        <v>0</v>
      </c>
      <c r="G13" s="4">
        <f>SUMIFS(Einn._Liste!$G$4:$G$1000,Einn._Liste!$E$4:$E$1000,115,Einn._Liste!$F$4:$F$1000,5)</f>
        <v>0</v>
      </c>
      <c r="H13" s="4">
        <f>SUMIFS(Einn._Liste!$G$4:$G$1000,Einn._Liste!$E$4:$E$1000,115,Einn._Liste!$F$4:$F$1000,6)</f>
        <v>0</v>
      </c>
      <c r="I13" s="4">
        <f>SUMIFS(Einn._Liste!$G$4:$G$1000,Einn._Liste!$E$4:$E$1000,115,Einn._Liste!$F$4:$F$1000,7)</f>
        <v>0</v>
      </c>
      <c r="J13" s="4">
        <f>SUMIFS(Einn._Liste!$G$4:$G$1000,Einn._Liste!$E$4:$E$1000,115,Einn._Liste!$F$4:$F$1000,8)</f>
        <v>0</v>
      </c>
      <c r="K13" s="4">
        <f>SUMIFS(Einn._Liste!$G$4:$G$1000,Einn._Liste!$E$4:$E$1000,115,Einn._Liste!$F$4:$F$1000,9)</f>
        <v>0</v>
      </c>
      <c r="L13" s="4">
        <f>SUMIFS(Einn._Liste!$G$4:$G$1000,Einn._Liste!$E$4:$E$1000,115,Einn._Liste!$F$4:$F$1000,10)</f>
        <v>0</v>
      </c>
      <c r="M13" s="4">
        <f>SUMIFS(Einn._Liste!$G$4:$G$1000,Einn._Liste!$E$4:$E$1000,115,Einn._Liste!$F$4:$F$1000,11)</f>
        <v>0</v>
      </c>
      <c r="N13" s="4">
        <f>SUMIFS(Einn._Liste!$G$4:$G$1000,Einn._Liste!$E$4:$E$1000,115,Einn._Liste!$F$4:$F$1000,12)</f>
        <v>0</v>
      </c>
      <c r="O13" s="4">
        <f t="shared" si="2"/>
        <v>0</v>
      </c>
    </row>
    <row r="14" spans="1:18" x14ac:dyDescent="0.25">
      <c r="A14" t="s">
        <v>27</v>
      </c>
      <c r="B14">
        <v>116</v>
      </c>
      <c r="C14" s="4">
        <f>SUMIFS(Einn._Liste!$G$4:$G$1000,Einn._Liste!$E$4:$E$1000,116,Einn._Liste!$F$4:$F$1000,1)</f>
        <v>0</v>
      </c>
      <c r="D14" s="4">
        <f>SUMIFS(Einn._Liste!$G$4:$G$1000,Einn._Liste!$E$4:$E$1000,116,Einn._Liste!$F$4:$F$1000,2)</f>
        <v>0</v>
      </c>
      <c r="E14" s="4">
        <f>SUMIFS(Einn._Liste!$G$4:$G$1000,Einn._Liste!$E$4:$E$1000,116,Einn._Liste!$F$4:$F$1000,3)</f>
        <v>0</v>
      </c>
      <c r="F14" s="4">
        <f>SUMIFS(Einn._Liste!$G$4:$G$1000,Einn._Liste!$E$4:$E$1000,116,Einn._Liste!$F$4:$F$1000,4)</f>
        <v>0</v>
      </c>
      <c r="G14" s="4">
        <f>SUMIFS(Einn._Liste!$G$4:$G$1000,Einn._Liste!$E$4:$E$1000,116,Einn._Liste!$F$4:$F$1000,5)</f>
        <v>0</v>
      </c>
      <c r="H14" s="4">
        <f>SUMIFS(Einn._Liste!$G$4:$G$1000,Einn._Liste!$E$4:$E$1000,116,Einn._Liste!$F$4:$F$1000,6)</f>
        <v>0</v>
      </c>
      <c r="I14" s="4">
        <f>SUMIFS(Einn._Liste!$G$4:$G$1000,Einn._Liste!$E$4:$E$1000,116,Einn._Liste!$F$4:$F$1000,7)</f>
        <v>0</v>
      </c>
      <c r="J14" s="4">
        <f>SUMIFS(Einn._Liste!$G$4:$G$1000,Einn._Liste!$E$4:$E$1000,116,Einn._Liste!$F$4:$F$1000,8)</f>
        <v>0</v>
      </c>
      <c r="K14" s="4">
        <f>SUMIFS(Einn._Liste!$G$4:$G$1000,Einn._Liste!$E$4:$E$1000,116,Einn._Liste!$F$4:$F$1000,9)</f>
        <v>0</v>
      </c>
      <c r="L14" s="4">
        <f>SUMIFS(Einn._Liste!$G$4:$G$1000,Einn._Liste!$E$4:$E$1000,116,Einn._Liste!$F$4:$F$1000,10)</f>
        <v>0</v>
      </c>
      <c r="M14" s="4">
        <f>SUMIFS(Einn._Liste!$G$4:$G$1000,Einn._Liste!$E$4:$E$1000,116,Einn._Liste!$F$4:$F$1000,11)</f>
        <v>0</v>
      </c>
      <c r="N14" s="4">
        <f>SUMIFS(Einn._Liste!$G$4:$G$1000,Einn._Liste!$E$4:$E$1000,116,Einn._Liste!$F$4:$F$1000,12)</f>
        <v>0</v>
      </c>
      <c r="O14" s="4">
        <f t="shared" si="2"/>
        <v>0</v>
      </c>
    </row>
    <row r="15" spans="1:18" x14ac:dyDescent="0.25">
      <c r="A15" s="8" t="s">
        <v>39</v>
      </c>
      <c r="B15" s="8">
        <v>120</v>
      </c>
      <c r="C15" s="9">
        <f>SUM(C16:C18)</f>
        <v>0</v>
      </c>
      <c r="D15" s="9">
        <f t="shared" ref="D15:N15" si="4">SUM(D16:D18)</f>
        <v>0</v>
      </c>
      <c r="E15" s="9">
        <f t="shared" si="4"/>
        <v>0</v>
      </c>
      <c r="F15" s="9">
        <f t="shared" si="4"/>
        <v>0</v>
      </c>
      <c r="G15" s="9">
        <f t="shared" si="4"/>
        <v>0</v>
      </c>
      <c r="H15" s="9">
        <f t="shared" si="4"/>
        <v>0</v>
      </c>
      <c r="I15" s="9">
        <f t="shared" si="4"/>
        <v>0</v>
      </c>
      <c r="J15" s="9">
        <f t="shared" si="4"/>
        <v>0</v>
      </c>
      <c r="K15" s="9">
        <f t="shared" si="4"/>
        <v>0</v>
      </c>
      <c r="L15" s="9">
        <f t="shared" si="4"/>
        <v>0</v>
      </c>
      <c r="M15" s="9">
        <f t="shared" si="4"/>
        <v>0</v>
      </c>
      <c r="N15" s="9">
        <f t="shared" si="4"/>
        <v>0</v>
      </c>
      <c r="O15" s="9">
        <f t="shared" si="2"/>
        <v>0</v>
      </c>
    </row>
    <row r="16" spans="1:18" x14ac:dyDescent="0.25">
      <c r="A16" t="s">
        <v>28</v>
      </c>
      <c r="B16">
        <v>121</v>
      </c>
      <c r="C16" s="4">
        <f>SUMIFS(Einn._Liste!$G$4:$G$1000,Einn._Liste!$E$4:$E$1000,121,Einn._Liste!$F$4:$F$1000,1)</f>
        <v>0</v>
      </c>
      <c r="D16" s="4">
        <f>SUMIFS(Einn._Liste!$G$4:$G$1000,Einn._Liste!$E$4:$E$1000,121,Einn._Liste!$F$4:$F$1000,2)</f>
        <v>0</v>
      </c>
      <c r="E16" s="4">
        <f>SUMIFS(Einn._Liste!$G$4:$G$1000,Einn._Liste!$E$4:$E$1000,121,Einn._Liste!$F$4:$F$1000,3)</f>
        <v>0</v>
      </c>
      <c r="F16" s="4">
        <f>SUMIFS(Einn._Liste!$G$4:$G$1000,Einn._Liste!$E$4:$E$1000,121,Einn._Liste!$F$4:$F$1000,4)</f>
        <v>0</v>
      </c>
      <c r="G16" s="4">
        <f>SUMIFS(Einn._Liste!$G$4:$G$1000,Einn._Liste!$E$4:$E$1000,121,Einn._Liste!$F$4:$F$1000,5)</f>
        <v>0</v>
      </c>
      <c r="H16" s="4">
        <f>SUMIFS(Einn._Liste!$G$4:$G$1000,Einn._Liste!$E$4:$E$1000,121,Einn._Liste!$F$4:$F$1000,6)</f>
        <v>0</v>
      </c>
      <c r="I16" s="4">
        <f>SUMIFS(Einn._Liste!$G$4:$G$1000,Einn._Liste!$E$4:$E$1000,121,Einn._Liste!$F$4:$F$1000,7)</f>
        <v>0</v>
      </c>
      <c r="J16" s="4">
        <f>SUMIFS(Einn._Liste!$G$4:$G$1000,Einn._Liste!$E$4:$E$1000,121,Einn._Liste!$F$4:$F$1000,8)</f>
        <v>0</v>
      </c>
      <c r="K16" s="4">
        <f>SUMIFS(Einn._Liste!$G$4:$G$1000,Einn._Liste!$E$4:$E$1000,121,Einn._Liste!$F$4:$F$1000,9)</f>
        <v>0</v>
      </c>
      <c r="L16" s="4">
        <f>SUMIFS(Einn._Liste!$G$4:$G$1000,Einn._Liste!$E$4:$E$1000,121,Einn._Liste!$F$4:$F$1000,10)</f>
        <v>0</v>
      </c>
      <c r="M16" s="4">
        <f>SUMIFS(Einn._Liste!$G$4:$G$1000,Einn._Liste!$E$4:$E$1000,121,Einn._Liste!$F$4:$F$1000,11)</f>
        <v>0</v>
      </c>
      <c r="N16" s="4">
        <f>SUMIFS(Einn._Liste!$G$4:$G$1000,Einn._Liste!$E$4:$E$1000,121,Einn._Liste!$F$4:$F$1000,12)</f>
        <v>0</v>
      </c>
      <c r="O16" s="4">
        <f t="shared" si="2"/>
        <v>0</v>
      </c>
    </row>
    <row r="17" spans="1:15" x14ac:dyDescent="0.25">
      <c r="A17" t="s">
        <v>29</v>
      </c>
      <c r="B17">
        <v>122</v>
      </c>
      <c r="C17" s="4">
        <f>SUMIFS(Einn._Liste!$G$4:$G$1000,Einn._Liste!$E$4:$E$1000,122,Einn._Liste!$F$4:$F$1000,1)</f>
        <v>0</v>
      </c>
      <c r="D17" s="4">
        <f>SUMIFS(Einn._Liste!$G$4:$G$1000,Einn._Liste!$E$4:$E$1000,122,Einn._Liste!$F$4:$F$1000,2)</f>
        <v>0</v>
      </c>
      <c r="E17" s="4">
        <f>SUMIFS(Einn._Liste!$G$4:$G$1000,Einn._Liste!$E$4:$E$1000,122,Einn._Liste!$F$4:$F$1000,3)</f>
        <v>0</v>
      </c>
      <c r="F17" s="4">
        <f>SUMIFS(Einn._Liste!$G$4:$G$1000,Einn._Liste!$E$4:$E$1000,122,Einn._Liste!$F$4:$F$1000,4)</f>
        <v>0</v>
      </c>
      <c r="G17" s="4">
        <f>SUMIFS(Einn._Liste!$G$4:$G$1000,Einn._Liste!$E$4:$E$1000,122,Einn._Liste!$F$4:$F$1000,5)</f>
        <v>0</v>
      </c>
      <c r="H17" s="4">
        <f>SUMIFS(Einn._Liste!$G$4:$G$1000,Einn._Liste!$E$4:$E$1000,122,Einn._Liste!$F$4:$F$1000,6)</f>
        <v>0</v>
      </c>
      <c r="I17" s="4">
        <f>SUMIFS(Einn._Liste!$G$4:$G$1000,Einn._Liste!$E$4:$E$1000,122,Einn._Liste!$F$4:$F$1000,7)</f>
        <v>0</v>
      </c>
      <c r="J17" s="4">
        <f>SUMIFS(Einn._Liste!$G$4:$G$1000,Einn._Liste!$E$4:$E$1000,122,Einn._Liste!$F$4:$F$1000,8)</f>
        <v>0</v>
      </c>
      <c r="K17" s="4">
        <f>SUMIFS(Einn._Liste!$G$4:$G$1000,Einn._Liste!$E$4:$E$1000,122,Einn._Liste!$F$4:$F$1000,9)</f>
        <v>0</v>
      </c>
      <c r="L17" s="4">
        <f>SUMIFS(Einn._Liste!$G$4:$G$1000,Einn._Liste!$E$4:$E$1000,122,Einn._Liste!$F$4:$F$1000,10)</f>
        <v>0</v>
      </c>
      <c r="M17" s="4">
        <f>SUMIFS(Einn._Liste!$G$4:$G$1000,Einn._Liste!$E$4:$E$1000,122,Einn._Liste!$F$4:$F$1000,11)</f>
        <v>0</v>
      </c>
      <c r="N17" s="4">
        <f>SUMIFS(Einn._Liste!$G$4:$G$1000,Einn._Liste!$E$4:$E$1000,122,Einn._Liste!$F$4:$F$1000,12)</f>
        <v>0</v>
      </c>
      <c r="O17" s="4">
        <f t="shared" si="2"/>
        <v>0</v>
      </c>
    </row>
    <row r="18" spans="1:15" x14ac:dyDescent="0.25">
      <c r="A18" t="s">
        <v>5</v>
      </c>
      <c r="B18">
        <v>123</v>
      </c>
      <c r="C18" s="4">
        <f>SUMIFS(Einn._Liste!$G$4:$G$1000,Einn._Liste!$E$4:$E$1000,123,Einn._Liste!$F$4:$F$1000,1)</f>
        <v>0</v>
      </c>
      <c r="D18" s="4">
        <f>SUMIFS(Einn._Liste!$G$4:$G$1000,Einn._Liste!$E$4:$E$1000,123,Einn._Liste!$F$4:$F$1000,2)</f>
        <v>0</v>
      </c>
      <c r="E18" s="4">
        <f>SUMIFS(Einn._Liste!$G$4:$G$1000,Einn._Liste!$E$4:$E$1000,123,Einn._Liste!$F$4:$F$1000,3)</f>
        <v>0</v>
      </c>
      <c r="F18" s="4">
        <f>SUMIFS(Einn._Liste!$G$4:$G$1000,Einn._Liste!$E$4:$E$1000,123,Einn._Liste!$F$4:$F$1000,4)</f>
        <v>0</v>
      </c>
      <c r="G18" s="4">
        <f>SUMIFS(Einn._Liste!$G$4:$G$1000,Einn._Liste!$E$4:$E$1000,123,Einn._Liste!$F$4:$F$1000,5)</f>
        <v>0</v>
      </c>
      <c r="H18" s="4">
        <f>SUMIFS(Einn._Liste!$G$4:$G$1000,Einn._Liste!$E$4:$E$1000,123,Einn._Liste!$F$4:$F$1000,6)</f>
        <v>0</v>
      </c>
      <c r="I18" s="4">
        <f>SUMIFS(Einn._Liste!$G$4:$G$1000,Einn._Liste!$E$4:$E$1000,123,Einn._Liste!$F$4:$F$1000,7)</f>
        <v>0</v>
      </c>
      <c r="J18" s="4">
        <f>SUMIFS(Einn._Liste!$G$4:$G$1000,Einn._Liste!$E$4:$E$1000,123,Einn._Liste!$F$4:$F$1000,8)</f>
        <v>0</v>
      </c>
      <c r="K18" s="4">
        <f>SUMIFS(Einn._Liste!$G$4:$G$1000,Einn._Liste!$E$4:$E$1000,123,Einn._Liste!$F$4:$F$1000,9)</f>
        <v>0</v>
      </c>
      <c r="L18" s="4">
        <f>SUMIFS(Einn._Liste!$G$4:$G$1000,Einn._Liste!$E$4:$E$1000,123,Einn._Liste!$F$4:$F$1000,10)</f>
        <v>0</v>
      </c>
      <c r="M18" s="4">
        <f>SUMIFS(Einn._Liste!$G$4:$G$1000,Einn._Liste!$E$4:$E$1000,123,Einn._Liste!$F$4:$F$1000,11)</f>
        <v>0</v>
      </c>
      <c r="N18" s="4">
        <f>SUMIFS(Einn._Liste!$G$4:$G$1000,Einn._Liste!$E$4:$E$1000,123,Einn._Liste!$F$4:$F$1000,12)</f>
        <v>0</v>
      </c>
      <c r="O18" s="4">
        <f t="shared" si="2"/>
        <v>0</v>
      </c>
    </row>
    <row r="19" spans="1:15" x14ac:dyDescent="0.25">
      <c r="A19" s="8" t="s">
        <v>40</v>
      </c>
      <c r="B19" s="8">
        <v>130</v>
      </c>
      <c r="C19" s="9">
        <f>SUM(C20:C24)</f>
        <v>0</v>
      </c>
      <c r="D19" s="9">
        <f t="shared" ref="D19:N19" si="5">SUM(D20:D24)</f>
        <v>0</v>
      </c>
      <c r="E19" s="9">
        <f t="shared" si="5"/>
        <v>0</v>
      </c>
      <c r="F19" s="9">
        <f t="shared" si="5"/>
        <v>0</v>
      </c>
      <c r="G19" s="9">
        <f t="shared" si="5"/>
        <v>0</v>
      </c>
      <c r="H19" s="9">
        <f t="shared" si="5"/>
        <v>0</v>
      </c>
      <c r="I19" s="9">
        <f t="shared" si="5"/>
        <v>0</v>
      </c>
      <c r="J19" s="9">
        <f t="shared" si="5"/>
        <v>0</v>
      </c>
      <c r="K19" s="9">
        <f t="shared" si="5"/>
        <v>0</v>
      </c>
      <c r="L19" s="9">
        <f t="shared" si="5"/>
        <v>0</v>
      </c>
      <c r="M19" s="9">
        <f t="shared" si="5"/>
        <v>0</v>
      </c>
      <c r="N19" s="9">
        <f t="shared" si="5"/>
        <v>0</v>
      </c>
      <c r="O19" s="9">
        <f t="shared" si="2"/>
        <v>0</v>
      </c>
    </row>
    <row r="20" spans="1:15" x14ac:dyDescent="0.25">
      <c r="A20" t="s">
        <v>30</v>
      </c>
      <c r="B20">
        <v>131</v>
      </c>
      <c r="C20" s="4">
        <f>SUMIFS(Einn._Liste!$G$4:$G$1000,Einn._Liste!$E$4:$E$1000,131,Einn._Liste!$F$4:$F$1000,1)</f>
        <v>0</v>
      </c>
      <c r="D20" s="4">
        <f>SUMIFS(Einn._Liste!$G$4:$G$1000,Einn._Liste!$E$4:$E$1000,131,Einn._Liste!$F$4:$F$1000,2)</f>
        <v>0</v>
      </c>
      <c r="E20" s="4">
        <f>SUMIFS(Einn._Liste!$G$4:$G$1000,Einn._Liste!$E$4:$E$1000,131,Einn._Liste!$F$4:$F$1000,3)</f>
        <v>0</v>
      </c>
      <c r="F20" s="4">
        <f>SUMIFS(Einn._Liste!$G$4:$G$1000,Einn._Liste!$E$4:$E$1000,131,Einn._Liste!$F$4:$F$1000,4)</f>
        <v>0</v>
      </c>
      <c r="G20" s="4">
        <f>SUMIFS(Einn._Liste!$G$4:$G$1000,Einn._Liste!$E$4:$E$1000,131,Einn._Liste!$F$4:$F$1000,5)</f>
        <v>0</v>
      </c>
      <c r="H20" s="4">
        <f>SUMIFS(Einn._Liste!$G$4:$G$1000,Einn._Liste!$E$4:$E$1000,131,Einn._Liste!$F$4:$F$1000,6)</f>
        <v>0</v>
      </c>
      <c r="I20" s="4">
        <f>SUMIFS(Einn._Liste!$G$4:$G$1000,Einn._Liste!$E$4:$E$1000,131,Einn._Liste!$F$4:$F$1000,7)</f>
        <v>0</v>
      </c>
      <c r="J20" s="4">
        <f>SUMIFS(Einn._Liste!$G$4:$G$1000,Einn._Liste!$E$4:$E$1000,131,Einn._Liste!$F$4:$F$1000,8)</f>
        <v>0</v>
      </c>
      <c r="K20" s="4">
        <f>SUMIFS(Einn._Liste!$G$4:$G$1000,Einn._Liste!$E$4:$E$1000,131,Einn._Liste!$F$4:$F$1000,9)</f>
        <v>0</v>
      </c>
      <c r="L20" s="4">
        <f>SUMIFS(Einn._Liste!$G$4:$G$1000,Einn._Liste!$E$4:$E$1000,131,Einn._Liste!$F$4:$F$1000,10)</f>
        <v>0</v>
      </c>
      <c r="M20" s="4">
        <f>SUMIFS(Einn._Liste!$G$4:$G$1000,Einn._Liste!$E$4:$E$1000,131,Einn._Liste!$F$4:$F$1000,11)</f>
        <v>0</v>
      </c>
      <c r="N20" s="4">
        <f>SUMIFS(Einn._Liste!$G$4:$G$1000,Einn._Liste!$E$4:$E$1000,131,Einn._Liste!$F$4:$F$1000,12)</f>
        <v>0</v>
      </c>
      <c r="O20" s="4">
        <f t="shared" si="2"/>
        <v>0</v>
      </c>
    </row>
    <row r="21" spans="1:15" x14ac:dyDescent="0.25">
      <c r="A21" t="s">
        <v>31</v>
      </c>
      <c r="B21">
        <v>132</v>
      </c>
      <c r="C21" s="4">
        <f>SUMIFS(Einn._Liste!$G$4:$G$1000,Einn._Liste!$E$4:$E$1000,132,Einn._Liste!$F$4:$F$1000,1)</f>
        <v>0</v>
      </c>
      <c r="D21" s="4">
        <f>SUMIFS(Einn._Liste!$G$4:$G$1000,Einn._Liste!$E$4:$E$1000,132,Einn._Liste!$F$4:$F$1000,2)</f>
        <v>0</v>
      </c>
      <c r="E21" s="4">
        <f>SUMIFS(Einn._Liste!$G$4:$G$1000,Einn._Liste!$E$4:$E$1000,132,Einn._Liste!$F$4:$F$1000,3)</f>
        <v>0</v>
      </c>
      <c r="F21" s="4">
        <f>SUMIFS(Einn._Liste!$G$4:$G$1000,Einn._Liste!$E$4:$E$1000,132,Einn._Liste!$F$4:$F$1000,4)</f>
        <v>0</v>
      </c>
      <c r="G21" s="4">
        <f>SUMIFS(Einn._Liste!$G$4:$G$1000,Einn._Liste!$E$4:$E$1000,132,Einn._Liste!$F$4:$F$1000,5)</f>
        <v>0</v>
      </c>
      <c r="H21" s="4">
        <f>SUMIFS(Einn._Liste!$G$4:$G$1000,Einn._Liste!$E$4:$E$1000,132,Einn._Liste!$F$4:$F$1000,6)</f>
        <v>0</v>
      </c>
      <c r="I21" s="4">
        <f>SUMIFS(Einn._Liste!$G$4:$G$1000,Einn._Liste!$E$4:$E$1000,132,Einn._Liste!$F$4:$F$1000,7)</f>
        <v>0</v>
      </c>
      <c r="J21" s="4">
        <f>SUMIFS(Einn._Liste!$G$4:$G$1000,Einn._Liste!$E$4:$E$1000,132,Einn._Liste!$F$4:$F$1000,8)</f>
        <v>0</v>
      </c>
      <c r="K21" s="4">
        <f>SUMIFS(Einn._Liste!$G$4:$G$1000,Einn._Liste!$E$4:$E$1000,132,Einn._Liste!$F$4:$F$1000,9)</f>
        <v>0</v>
      </c>
      <c r="L21" s="4">
        <f>SUMIFS(Einn._Liste!$G$4:$G$1000,Einn._Liste!$E$4:$E$1000,132,Einn._Liste!$F$4:$F$1000,10)</f>
        <v>0</v>
      </c>
      <c r="M21" s="4">
        <f>SUMIFS(Einn._Liste!$G$4:$G$1000,Einn._Liste!$E$4:$E$1000,132,Einn._Liste!$F$4:$F$1000,11)</f>
        <v>0</v>
      </c>
      <c r="N21" s="4">
        <f>SUMIFS(Einn._Liste!$G$4:$G$1000,Einn._Liste!$E$4:$E$1000,132,Einn._Liste!$F$4:$F$1000,12)</f>
        <v>0</v>
      </c>
      <c r="O21" s="4">
        <f t="shared" si="2"/>
        <v>0</v>
      </c>
    </row>
    <row r="22" spans="1:15" x14ac:dyDescent="0.25">
      <c r="A22" t="s">
        <v>32</v>
      </c>
      <c r="B22">
        <v>133</v>
      </c>
      <c r="C22" s="4">
        <f>SUMIFS(Einn._Liste!$G$4:$G$1000,Einn._Liste!$E$4:$E$1000,133,Einn._Liste!$F$4:$F$1000,1)</f>
        <v>0</v>
      </c>
      <c r="D22" s="4">
        <f>SUMIFS(Einn._Liste!$G$4:$G$1000,Einn._Liste!$E$4:$E$1000,133,Einn._Liste!$F$4:$F$1000,2)</f>
        <v>0</v>
      </c>
      <c r="E22" s="4">
        <f>SUMIFS(Einn._Liste!$G$4:$G$1000,Einn._Liste!$E$4:$E$1000,133,Einn._Liste!$F$4:$F$1000,3)</f>
        <v>0</v>
      </c>
      <c r="F22" s="4">
        <f>SUMIFS(Einn._Liste!$G$4:$G$1000,Einn._Liste!$E$4:$E$1000,133,Einn._Liste!$F$4:$F$1000,4)</f>
        <v>0</v>
      </c>
      <c r="G22" s="4">
        <f>SUMIFS(Einn._Liste!$G$4:$G$1000,Einn._Liste!$E$4:$E$1000,133,Einn._Liste!$F$4:$F$1000,5)</f>
        <v>0</v>
      </c>
      <c r="H22" s="4">
        <f>SUMIFS(Einn._Liste!$G$4:$G$1000,Einn._Liste!$E$4:$E$1000,133,Einn._Liste!$F$4:$F$1000,6)</f>
        <v>0</v>
      </c>
      <c r="I22" s="4">
        <f>SUMIFS(Einn._Liste!$G$4:$G$1000,Einn._Liste!$E$4:$E$1000,133,Einn._Liste!$F$4:$F$1000,7)</f>
        <v>0</v>
      </c>
      <c r="J22" s="4">
        <f>SUMIFS(Einn._Liste!$G$4:$G$1000,Einn._Liste!$E$4:$E$1000,133,Einn._Liste!$F$4:$F$1000,8)</f>
        <v>0</v>
      </c>
      <c r="K22" s="4">
        <f>SUMIFS(Einn._Liste!$G$4:$G$1000,Einn._Liste!$E$4:$E$1000,133,Einn._Liste!$F$4:$F$1000,9)</f>
        <v>0</v>
      </c>
      <c r="L22" s="4">
        <f>SUMIFS(Einn._Liste!$G$4:$G$1000,Einn._Liste!$E$4:$E$1000,133,Einn._Liste!$F$4:$F$1000,10)</f>
        <v>0</v>
      </c>
      <c r="M22" s="4">
        <f>SUMIFS(Einn._Liste!$G$4:$G$1000,Einn._Liste!$E$4:$E$1000,133,Einn._Liste!$F$4:$F$1000,11)</f>
        <v>0</v>
      </c>
      <c r="N22" s="4">
        <f>SUMIFS(Einn._Liste!$G$4:$G$1000,Einn._Liste!$E$4:$E$1000,133,Einn._Liste!$F$4:$F$1000,12)</f>
        <v>0</v>
      </c>
      <c r="O22" s="4">
        <f t="shared" si="2"/>
        <v>0</v>
      </c>
    </row>
    <row r="23" spans="1:15" x14ac:dyDescent="0.25">
      <c r="A23" t="s">
        <v>33</v>
      </c>
      <c r="B23">
        <v>134</v>
      </c>
      <c r="C23" s="4">
        <f>SUMIFS(Einn._Liste!$G$4:$G$1000,Einn._Liste!$E$4:$E$1000,134,Einn._Liste!$F$4:$F$1000,1)</f>
        <v>0</v>
      </c>
      <c r="D23" s="4">
        <f>SUMIFS(Einn._Liste!$G$4:$G$1000,Einn._Liste!$E$4:$E$1000,134,Einn._Liste!$F$4:$F$1000,2)</f>
        <v>0</v>
      </c>
      <c r="E23" s="4">
        <f>SUMIFS(Einn._Liste!$G$4:$G$1000,Einn._Liste!$E$4:$E$1000,134,Einn._Liste!$F$4:$F$1000,3)</f>
        <v>0</v>
      </c>
      <c r="F23" s="4">
        <f>SUMIFS(Einn._Liste!$G$4:$G$1000,Einn._Liste!$E$4:$E$1000,134,Einn._Liste!$F$4:$F$1000,4)</f>
        <v>0</v>
      </c>
      <c r="G23" s="4">
        <f>SUMIFS(Einn._Liste!$G$4:$G$1000,Einn._Liste!$E$4:$E$1000,134,Einn._Liste!$F$4:$F$1000,5)</f>
        <v>0</v>
      </c>
      <c r="H23" s="4">
        <f>SUMIFS(Einn._Liste!$G$4:$G$1000,Einn._Liste!$E$4:$E$1000,134,Einn._Liste!$F$4:$F$1000,6)</f>
        <v>0</v>
      </c>
      <c r="I23" s="4">
        <f>SUMIFS(Einn._Liste!$G$4:$G$1000,Einn._Liste!$E$4:$E$1000,134,Einn._Liste!$F$4:$F$1000,7)</f>
        <v>0</v>
      </c>
      <c r="J23" s="4">
        <f>SUMIFS(Einn._Liste!$G$4:$G$1000,Einn._Liste!$E$4:$E$1000,134,Einn._Liste!$F$4:$F$1000,8)</f>
        <v>0</v>
      </c>
      <c r="K23" s="4">
        <f>SUMIFS(Einn._Liste!$G$4:$G$1000,Einn._Liste!$E$4:$E$1000,134,Einn._Liste!$F$4:$F$1000,9)</f>
        <v>0</v>
      </c>
      <c r="L23" s="4">
        <f>SUMIFS(Einn._Liste!$G$4:$G$1000,Einn._Liste!$E$4:$E$1000,134,Einn._Liste!$F$4:$F$1000,10)</f>
        <v>0</v>
      </c>
      <c r="M23" s="4">
        <f>SUMIFS(Einn._Liste!$G$4:$G$1000,Einn._Liste!$E$4:$E$1000,134,Einn._Liste!$F$4:$F$1000,11)</f>
        <v>0</v>
      </c>
      <c r="N23" s="4">
        <f>SUMIFS(Einn._Liste!$G$4:$G$1000,Einn._Liste!$E$4:$E$1000,134,Einn._Liste!$F$4:$F$1000,12)</f>
        <v>0</v>
      </c>
      <c r="O23" s="4">
        <f t="shared" si="2"/>
        <v>0</v>
      </c>
    </row>
    <row r="24" spans="1:15" x14ac:dyDescent="0.25">
      <c r="A24" t="s">
        <v>34</v>
      </c>
      <c r="B24">
        <v>135</v>
      </c>
      <c r="C24" s="4">
        <f>SUMIFS(Einn._Liste!$G$4:$G$1000,Einn._Liste!$E$4:$E$1000,135,Einn._Liste!$F$4:$F$1000,1)</f>
        <v>0</v>
      </c>
      <c r="D24" s="4">
        <f>SUMIFS(Einn._Liste!$G$4:$G$1000,Einn._Liste!$E$4:$E$1000,135,Einn._Liste!$F$4:$F$1000,2)</f>
        <v>0</v>
      </c>
      <c r="E24" s="4">
        <f>SUMIFS(Einn._Liste!$G$4:$G$1000,Einn._Liste!$E$4:$E$1000,135,Einn._Liste!$F$4:$F$1000,3)</f>
        <v>0</v>
      </c>
      <c r="F24" s="4">
        <f>SUMIFS(Einn._Liste!$G$4:$G$1000,Einn._Liste!$E$4:$E$1000,135,Einn._Liste!$F$4:$F$1000,4)</f>
        <v>0</v>
      </c>
      <c r="G24" s="4">
        <f>SUMIFS(Einn._Liste!$G$4:$G$1000,Einn._Liste!$E$4:$E$1000,135,Einn._Liste!$F$4:$F$1000,5)</f>
        <v>0</v>
      </c>
      <c r="H24" s="4">
        <f>SUMIFS(Einn._Liste!$G$4:$G$1000,Einn._Liste!$E$4:$E$1000,135,Einn._Liste!$F$4:$F$1000,6)</f>
        <v>0</v>
      </c>
      <c r="I24" s="4">
        <f>SUMIFS(Einn._Liste!$G$4:$G$1000,Einn._Liste!$E$4:$E$1000,135,Einn._Liste!$F$4:$F$1000,7)</f>
        <v>0</v>
      </c>
      <c r="J24" s="4">
        <f>SUMIFS(Einn._Liste!$G$4:$G$1000,Einn._Liste!$E$4:$E$1000,135,Einn._Liste!$F$4:$F$1000,8)</f>
        <v>0</v>
      </c>
      <c r="K24" s="4">
        <f>SUMIFS(Einn._Liste!$G$4:$G$1000,Einn._Liste!$E$4:$E$1000,135,Einn._Liste!$F$4:$F$1000,9)</f>
        <v>0</v>
      </c>
      <c r="L24" s="4">
        <f>SUMIFS(Einn._Liste!$G$4:$G$1000,Einn._Liste!$E$4:$E$1000,135,Einn._Liste!$F$4:$F$1000,10)</f>
        <v>0</v>
      </c>
      <c r="M24" s="4">
        <f>SUMIFS(Einn._Liste!$G$4:$G$1000,Einn._Liste!$E$4:$E$1000,135,Einn._Liste!$F$4:$F$1000,11)</f>
        <v>0</v>
      </c>
      <c r="N24" s="4">
        <f>SUMIFS(Einn._Liste!$G$4:$G$1000,Einn._Liste!$E$4:$E$1000,135,Einn._Liste!$F$4:$F$1000,12)</f>
        <v>0</v>
      </c>
      <c r="O24" s="4">
        <f t="shared" si="2"/>
        <v>0</v>
      </c>
    </row>
    <row r="25" spans="1:15" x14ac:dyDescent="0.25">
      <c r="A25" s="8" t="s">
        <v>41</v>
      </c>
      <c r="B25" s="8">
        <v>140</v>
      </c>
      <c r="C25" s="9">
        <f>SUM(C26:C30)</f>
        <v>0</v>
      </c>
      <c r="D25" s="9">
        <f t="shared" ref="D25:N25" si="6">SUM(D26:D30)</f>
        <v>0</v>
      </c>
      <c r="E25" s="9">
        <f t="shared" si="6"/>
        <v>0</v>
      </c>
      <c r="F25" s="9">
        <f t="shared" si="6"/>
        <v>0</v>
      </c>
      <c r="G25" s="9">
        <f t="shared" si="6"/>
        <v>0</v>
      </c>
      <c r="H25" s="9">
        <f t="shared" si="6"/>
        <v>0</v>
      </c>
      <c r="I25" s="9">
        <f t="shared" si="6"/>
        <v>0</v>
      </c>
      <c r="J25" s="9">
        <f t="shared" si="6"/>
        <v>0</v>
      </c>
      <c r="K25" s="9">
        <f t="shared" si="6"/>
        <v>0</v>
      </c>
      <c r="L25" s="9">
        <f t="shared" si="6"/>
        <v>0</v>
      </c>
      <c r="M25" s="9">
        <f t="shared" si="6"/>
        <v>0</v>
      </c>
      <c r="N25" s="9">
        <f t="shared" si="6"/>
        <v>0</v>
      </c>
      <c r="O25" s="9">
        <f t="shared" si="2"/>
        <v>0</v>
      </c>
    </row>
    <row r="26" spans="1:15" x14ac:dyDescent="0.25">
      <c r="A26" t="s">
        <v>42</v>
      </c>
      <c r="B26">
        <v>141</v>
      </c>
      <c r="C26" s="4">
        <f>SUMIFS(Einn._Liste!$G$4:$G$1000,Einn._Liste!$E$4:$E$1000,141,Einn._Liste!$F$4:$F$1000,1)</f>
        <v>0</v>
      </c>
      <c r="D26" s="4">
        <f>SUMIFS(Einn._Liste!$G$4:$G$1000,Einn._Liste!$E$4:$E$1000,141,Einn._Liste!$F$4:$F$1000,2)</f>
        <v>0</v>
      </c>
      <c r="E26" s="4">
        <f>SUMIFS(Einn._Liste!$G$4:$G$1000,Einn._Liste!$E$4:$E$1000,141,Einn._Liste!$F$4:$F$1000,3)</f>
        <v>0</v>
      </c>
      <c r="F26" s="4">
        <f>SUMIFS(Einn._Liste!$G$4:$G$1000,Einn._Liste!$E$4:$E$1000,141,Einn._Liste!$F$4:$F$1000,4)</f>
        <v>0</v>
      </c>
      <c r="G26" s="4">
        <f>SUMIFS(Einn._Liste!$G$4:$G$1000,Einn._Liste!$E$4:$E$1000,141,Einn._Liste!$F$4:$F$1000,5)</f>
        <v>0</v>
      </c>
      <c r="H26" s="4">
        <f>SUMIFS(Einn._Liste!$G$4:$G$1000,Einn._Liste!$E$4:$E$1000,141,Einn._Liste!$F$4:$F$1000,6)</f>
        <v>0</v>
      </c>
      <c r="I26" s="4">
        <f>SUMIFS(Einn._Liste!$G$4:$G$1000,Einn._Liste!$E$4:$E$1000,141,Einn._Liste!$F$4:$F$1000,7)</f>
        <v>0</v>
      </c>
      <c r="J26" s="4">
        <f>SUMIFS(Einn._Liste!$G$4:$G$1000,Einn._Liste!$E$4:$E$1000,141,Einn._Liste!$F$4:$F$1000,8)</f>
        <v>0</v>
      </c>
      <c r="K26" s="4">
        <f>SUMIFS(Einn._Liste!$G$4:$G$1000,Einn._Liste!$E$4:$E$1000,141,Einn._Liste!$F$4:$F$1000,9)</f>
        <v>0</v>
      </c>
      <c r="L26" s="4">
        <f>SUMIFS(Einn._Liste!$G$4:$G$1000,Einn._Liste!$E$4:$E$1000,141,Einn._Liste!$F$4:$F$1000,10)</f>
        <v>0</v>
      </c>
      <c r="M26" s="4">
        <f>SUMIFS(Einn._Liste!$G$4:$G$1000,Einn._Liste!$E$4:$E$1000,141,Einn._Liste!$F$4:$F$1000,11)</f>
        <v>0</v>
      </c>
      <c r="N26" s="4">
        <f>SUMIFS(Einn._Liste!$G$4:$G$1000,Einn._Liste!$E$4:$E$1000,141,Einn._Liste!$F$4:$F$1000,12)</f>
        <v>0</v>
      </c>
      <c r="O26" s="4">
        <f t="shared" si="2"/>
        <v>0</v>
      </c>
    </row>
    <row r="27" spans="1:15" x14ac:dyDescent="0.25">
      <c r="A27" t="s">
        <v>43</v>
      </c>
      <c r="B27">
        <v>142</v>
      </c>
      <c r="C27" s="4">
        <f>SUMIFS(Einn._Liste!$G$4:$G$1000,Einn._Liste!$E$4:$E$1000,142,Einn._Liste!$F$4:$F$1000,1)</f>
        <v>0</v>
      </c>
      <c r="D27" s="4">
        <f>SUMIFS(Einn._Liste!$G$4:$G$1000,Einn._Liste!$E$4:$E$1000,142,Einn._Liste!$F$4:$F$1000,2)</f>
        <v>0</v>
      </c>
      <c r="E27" s="4">
        <f>SUMIFS(Einn._Liste!$G$4:$G$1000,Einn._Liste!$E$4:$E$1000,142,Einn._Liste!$F$4:$F$1000,3)</f>
        <v>0</v>
      </c>
      <c r="F27" s="4">
        <f>SUMIFS(Einn._Liste!$G$4:$G$1000,Einn._Liste!$E$4:$E$1000,142,Einn._Liste!$F$4:$F$1000,4)</f>
        <v>0</v>
      </c>
      <c r="G27" s="4">
        <f>SUMIFS(Einn._Liste!$G$4:$G$1000,Einn._Liste!$E$4:$E$1000,142,Einn._Liste!$F$4:$F$1000,5)</f>
        <v>0</v>
      </c>
      <c r="H27" s="4">
        <f>SUMIFS(Einn._Liste!$G$4:$G$1000,Einn._Liste!$E$4:$E$1000,142,Einn._Liste!$F$4:$F$1000,6)</f>
        <v>0</v>
      </c>
      <c r="I27" s="4">
        <f>SUMIFS(Einn._Liste!$G$4:$G$1000,Einn._Liste!$E$4:$E$1000,142,Einn._Liste!$F$4:$F$1000,7)</f>
        <v>0</v>
      </c>
      <c r="J27" s="4">
        <f>SUMIFS(Einn._Liste!$G$4:$G$1000,Einn._Liste!$E$4:$E$1000,142,Einn._Liste!$F$4:$F$1000,8)</f>
        <v>0</v>
      </c>
      <c r="K27" s="4">
        <f>SUMIFS(Einn._Liste!$G$4:$G$1000,Einn._Liste!$E$4:$E$1000,142,Einn._Liste!$F$4:$F$1000,9)</f>
        <v>0</v>
      </c>
      <c r="L27" s="4">
        <f>SUMIFS(Einn._Liste!$G$4:$G$1000,Einn._Liste!$E$4:$E$1000,142,Einn._Liste!$F$4:$F$1000,10)</f>
        <v>0</v>
      </c>
      <c r="M27" s="4">
        <f>SUMIFS(Einn._Liste!$G$4:$G$1000,Einn._Liste!$E$4:$E$1000,142,Einn._Liste!$F$4:$F$1000,11)</f>
        <v>0</v>
      </c>
      <c r="N27" s="4">
        <f>SUMIFS(Einn._Liste!$G$4:$G$1000,Einn._Liste!$E$4:$E$1000,142,Einn._Liste!$F$4:$F$1000,12)</f>
        <v>0</v>
      </c>
      <c r="O27" s="4">
        <f t="shared" si="2"/>
        <v>0</v>
      </c>
    </row>
    <row r="28" spans="1:15" x14ac:dyDescent="0.25">
      <c r="A28" t="s">
        <v>44</v>
      </c>
      <c r="B28">
        <v>143</v>
      </c>
      <c r="C28" s="4">
        <f>SUMIFS(Einn._Liste!$G$4:$G$1000,Einn._Liste!$E$4:$E$1000,143,Einn._Liste!$F$4:$F$1000,1)</f>
        <v>0</v>
      </c>
      <c r="D28" s="4">
        <f>SUMIFS(Einn._Liste!$G$4:$G$1000,Einn._Liste!$E$4:$E$1000,143,Einn._Liste!$F$4:$F$1000,2)</f>
        <v>0</v>
      </c>
      <c r="E28" s="4">
        <f>SUMIFS(Einn._Liste!$G$4:$G$1000,Einn._Liste!$E$4:$E$1000,143,Einn._Liste!$F$4:$F$1000,3)</f>
        <v>0</v>
      </c>
      <c r="F28" s="4">
        <f>SUMIFS(Einn._Liste!$G$4:$G$1000,Einn._Liste!$E$4:$E$1000,143,Einn._Liste!$F$4:$F$1000,4)</f>
        <v>0</v>
      </c>
      <c r="G28" s="4">
        <f>SUMIFS(Einn._Liste!$G$4:$G$1000,Einn._Liste!$E$4:$E$1000,143,Einn._Liste!$F$4:$F$1000,5)</f>
        <v>0</v>
      </c>
      <c r="H28" s="4">
        <f>SUMIFS(Einn._Liste!$G$4:$G$1000,Einn._Liste!$E$4:$E$1000,143,Einn._Liste!$F$4:$F$1000,6)</f>
        <v>0</v>
      </c>
      <c r="I28" s="4">
        <f>SUMIFS(Einn._Liste!$G$4:$G$1000,Einn._Liste!$E$4:$E$1000,143,Einn._Liste!$F$4:$F$1000,7)</f>
        <v>0</v>
      </c>
      <c r="J28" s="4">
        <f>SUMIFS(Einn._Liste!$G$4:$G$1000,Einn._Liste!$E$4:$E$1000,143,Einn._Liste!$F$4:$F$1000,8)</f>
        <v>0</v>
      </c>
      <c r="K28" s="4">
        <f>SUMIFS(Einn._Liste!$G$4:$G$1000,Einn._Liste!$E$4:$E$1000,143,Einn._Liste!$F$4:$F$1000,9)</f>
        <v>0</v>
      </c>
      <c r="L28" s="4">
        <f>SUMIFS(Einn._Liste!$G$4:$G$1000,Einn._Liste!$E$4:$E$1000,143,Einn._Liste!$F$4:$F$1000,10)</f>
        <v>0</v>
      </c>
      <c r="M28" s="4">
        <f>SUMIFS(Einn._Liste!$G$4:$G$1000,Einn._Liste!$E$4:$E$1000,143,Einn._Liste!$F$4:$F$1000,11)</f>
        <v>0</v>
      </c>
      <c r="N28" s="4">
        <f>SUMIFS(Einn._Liste!$G$4:$G$1000,Einn._Liste!$E$4:$E$1000,143,Einn._Liste!$F$4:$F$1000,12)</f>
        <v>0</v>
      </c>
      <c r="O28" s="4">
        <f t="shared" si="2"/>
        <v>0</v>
      </c>
    </row>
    <row r="29" spans="1:15" x14ac:dyDescent="0.25">
      <c r="A29" t="s">
        <v>114</v>
      </c>
      <c r="B29">
        <v>144</v>
      </c>
      <c r="C29" s="4">
        <f>SUMIFS(Einn._Liste!$G$4:$G$1000,Einn._Liste!$E$4:$E$1000,144,Einn._Liste!$F$4:$F$1000,1)</f>
        <v>0</v>
      </c>
      <c r="D29" s="4">
        <f>SUMIFS(Einn._Liste!$G$4:$G$1000,Einn._Liste!$E$4:$E$1000,144,Einn._Liste!$F$4:$F$1000,2)</f>
        <v>0</v>
      </c>
      <c r="E29" s="4">
        <f>SUMIFS(Einn._Liste!$G$4:$G$1000,Einn._Liste!$E$4:$E$1000,144,Einn._Liste!$F$4:$F$1000,3)</f>
        <v>0</v>
      </c>
      <c r="F29" s="4">
        <f>SUMIFS(Einn._Liste!$G$4:$G$1000,Einn._Liste!$E$4:$E$1000,144,Einn._Liste!$F$4:$F$1000,4)</f>
        <v>0</v>
      </c>
      <c r="G29" s="4">
        <f>SUMIFS(Einn._Liste!$G$4:$G$1000,Einn._Liste!$E$4:$E$1000,144,Einn._Liste!$F$4:$F$1000,5)</f>
        <v>0</v>
      </c>
      <c r="H29" s="4">
        <f>SUMIFS(Einn._Liste!$G$4:$G$1000,Einn._Liste!$E$4:$E$1000,144,Einn._Liste!$F$4:$F$1000,6)</f>
        <v>0</v>
      </c>
      <c r="I29" s="4">
        <f>SUMIFS(Einn._Liste!$G$4:$G$1000,Einn._Liste!$E$4:$E$1000,144,Einn._Liste!$F$4:$F$1000,7)</f>
        <v>0</v>
      </c>
      <c r="J29" s="4">
        <f>SUMIFS(Einn._Liste!$G$4:$G$1000,Einn._Liste!$E$4:$E$1000,144,Einn._Liste!$F$4:$F$1000,8)</f>
        <v>0</v>
      </c>
      <c r="K29" s="4">
        <f>SUMIFS(Einn._Liste!$G$4:$G$1000,Einn._Liste!$E$4:$E$1000,144,Einn._Liste!$F$4:$F$1000,9)</f>
        <v>0</v>
      </c>
      <c r="L29" s="4">
        <f>SUMIFS(Einn._Liste!$G$4:$G$1000,Einn._Liste!$E$4:$E$1000,144,Einn._Liste!$F$4:$F$1000,10)</f>
        <v>0</v>
      </c>
      <c r="M29" s="4">
        <f>SUMIFS(Einn._Liste!$G$4:$G$1000,Einn._Liste!$E$4:$E$1000,144,Einn._Liste!$F$4:$F$1000,11)</f>
        <v>0</v>
      </c>
      <c r="N29" s="4">
        <f>SUMIFS(Einn._Liste!$G$4:$G$1000,Einn._Liste!$E$4:$E$1000,144,Einn._Liste!$F$4:$F$1000,12)</f>
        <v>0</v>
      </c>
      <c r="O29" s="4">
        <f t="shared" si="2"/>
        <v>0</v>
      </c>
    </row>
    <row r="30" spans="1:15" x14ac:dyDescent="0.25">
      <c r="A30" t="s">
        <v>377</v>
      </c>
      <c r="B30">
        <v>145</v>
      </c>
      <c r="C30" s="4">
        <f>SUMIFS(Einn._Liste!$G$4:$G$1000,Einn._Liste!$E$4:$E$1000,145,Einn._Liste!$F$4:$F$1000,1)</f>
        <v>0</v>
      </c>
      <c r="D30" s="4">
        <f>SUMIFS(Einn._Liste!$G$4:$G$1000,Einn._Liste!$E$4:$E$1000,145,Einn._Liste!$F$4:$F$1000,2)</f>
        <v>0</v>
      </c>
      <c r="E30" s="4">
        <f>SUMIFS(Einn._Liste!$G$4:$G$1000,Einn._Liste!$E$4:$E$1000,145,Einn._Liste!$F$4:$F$1000,3)</f>
        <v>0</v>
      </c>
      <c r="F30" s="4">
        <f>SUMIFS(Einn._Liste!$G$4:$G$1000,Einn._Liste!$E$4:$E$1000,145,Einn._Liste!$F$4:$F$1000,4)</f>
        <v>0</v>
      </c>
      <c r="G30" s="4">
        <f>SUMIFS(Einn._Liste!$G$4:$G$1000,Einn._Liste!$E$4:$E$1000,145,Einn._Liste!$F$4:$F$1000,5)</f>
        <v>0</v>
      </c>
      <c r="H30" s="4">
        <f>SUMIFS(Einn._Liste!$G$4:$G$1000,Einn._Liste!$E$4:$E$1000,145,Einn._Liste!$F$4:$F$1000,6)</f>
        <v>0</v>
      </c>
      <c r="I30" s="4">
        <f>SUMIFS(Einn._Liste!$G$4:$G$1000,Einn._Liste!$E$4:$E$1000,145,Einn._Liste!$F$4:$F$1000,7)</f>
        <v>0</v>
      </c>
      <c r="J30" s="4">
        <f>SUMIFS(Einn._Liste!$G$4:$G$1000,Einn._Liste!$E$4:$E$1000,145,Einn._Liste!$F$4:$F$1000,8)</f>
        <v>0</v>
      </c>
      <c r="K30" s="4">
        <f>SUMIFS(Einn._Liste!$G$4:$G$1000,Einn._Liste!$E$4:$E$1000,145,Einn._Liste!$F$4:$F$1000,9)</f>
        <v>0</v>
      </c>
      <c r="L30" s="4">
        <f>SUMIFS(Einn._Liste!$G$4:$G$1000,Einn._Liste!$E$4:$E$1000,145,Einn._Liste!$F$4:$F$1000,10)</f>
        <v>0</v>
      </c>
      <c r="M30" s="4">
        <f>SUMIFS(Einn._Liste!$G$4:$G$1000,Einn._Liste!$E$4:$E$1000,145,Einn._Liste!$F$4:$F$1000,11)</f>
        <v>0</v>
      </c>
      <c r="N30" s="4">
        <f>SUMIFS(Einn._Liste!$G$4:$G$1000,Einn._Liste!$E$4:$E$1000,145,Einn._Liste!$F$4:$F$1000,12)</f>
        <v>0</v>
      </c>
      <c r="O30" s="4">
        <f t="shared" si="2"/>
        <v>0</v>
      </c>
    </row>
    <row r="31" spans="1:15" x14ac:dyDescent="0.25">
      <c r="A31" s="8" t="s">
        <v>372</v>
      </c>
      <c r="B31" s="8">
        <v>150</v>
      </c>
      <c r="C31" s="9">
        <f>SUMIFS(Einn._Liste!$G$4:$G$1000,Einn._Liste!$E$4:$E$1000,150,Einn._Liste!$F$4:$F$1000,1)</f>
        <v>0</v>
      </c>
      <c r="D31" s="9">
        <f>SUMIFS(Einn._Liste!$G$4:$G$1000,Einn._Liste!$E$4:$E$1000,150,Einn._Liste!$F$4:$F$1000,2)</f>
        <v>0</v>
      </c>
      <c r="E31" s="9">
        <f>SUMIFS(Einn._Liste!$G$4:$G$1000,Einn._Liste!$E$4:$E$1000,150,Einn._Liste!$F$4:$F$1000,3)</f>
        <v>0</v>
      </c>
      <c r="F31" s="9">
        <f>SUMIFS(Einn._Liste!$G$4:$G$1000,Einn._Liste!$E$4:$E$1000,150,Einn._Liste!$F$4:$F$1000,4)</f>
        <v>0</v>
      </c>
      <c r="G31" s="9">
        <f>SUMIFS(Einn._Liste!$G$4:$G$1000,Einn._Liste!$E$4:$E$1000,150,Einn._Liste!$F$4:$F$1000,5)</f>
        <v>0</v>
      </c>
      <c r="H31" s="9">
        <f>SUMIFS(Einn._Liste!$G$4:$G$1000,Einn._Liste!$E$4:$E$1000,150,Einn._Liste!$F$4:$F$1000,6)</f>
        <v>0</v>
      </c>
      <c r="I31" s="9">
        <f>SUMIFS(Einn._Liste!$G$4:$G$1000,Einn._Liste!$E$4:$E$1000,150,Einn._Liste!$F$4:$F$1000,7)</f>
        <v>0</v>
      </c>
      <c r="J31" s="9">
        <f>SUMIFS(Einn._Liste!$G$4:$G$1000,Einn._Liste!$E$4:$E$1000,150,Einn._Liste!$F$4:$F$1000,8)</f>
        <v>0</v>
      </c>
      <c r="K31" s="9">
        <f>SUMIFS(Einn._Liste!$G$4:$G$1000,Einn._Liste!$E$4:$E$1000,150,Einn._Liste!$F$4:$F$1000,9)</f>
        <v>0</v>
      </c>
      <c r="L31" s="9">
        <f>SUMIFS(Einn._Liste!$G$4:$G$1000,Einn._Liste!$E$4:$E$1000,150,Einn._Liste!$F$4:$F$1000,10)</f>
        <v>0</v>
      </c>
      <c r="M31" s="9">
        <f>SUMIFS(Einn._Liste!$G$4:$G$1000,Einn._Liste!$E$4:$E$1000,150,Einn._Liste!$F$4:$F$1000,11)</f>
        <v>0</v>
      </c>
      <c r="N31" s="9">
        <f>SUMIFS(Einn._Liste!$G$4:$G$1000,Einn._Liste!$E$4:$E$1000,150,Einn._Liste!$F$4:$F$1000,12)</f>
        <v>0</v>
      </c>
      <c r="O31" s="9">
        <f>SUM(C31:N31)</f>
        <v>0</v>
      </c>
    </row>
    <row r="32" spans="1:15" x14ac:dyDescent="0.25"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</row>
    <row r="33" spans="3:14" x14ac:dyDescent="0.25"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</row>
    <row r="34" spans="3:14" x14ac:dyDescent="0.25"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</row>
    <row r="35" spans="3:14" x14ac:dyDescent="0.25"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</row>
    <row r="36" spans="3:14" x14ac:dyDescent="0.25"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</row>
    <row r="37" spans="3:14" x14ac:dyDescent="0.25"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</row>
  </sheetData>
  <printOptions gridLines="1"/>
  <pageMargins left="0.70866141732283472" right="0.70866141732283472" top="0.78740157480314965" bottom="0.78740157480314965" header="0.31496062992125984" footer="0.31496062992125984"/>
  <pageSetup paperSize="9" scale="130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0"/>
  <dimension ref="A1:R16"/>
  <sheetViews>
    <sheetView workbookViewId="0">
      <selection activeCell="C23" sqref="C23"/>
    </sheetView>
  </sheetViews>
  <sheetFormatPr baseColWidth="10" defaultRowHeight="15" x14ac:dyDescent="0.25"/>
  <cols>
    <col min="1" max="1" width="41" bestFit="1" customWidth="1"/>
    <col min="2" max="2" width="7.140625" bestFit="1" customWidth="1"/>
    <col min="15" max="15" width="14.28515625" customWidth="1"/>
  </cols>
  <sheetData>
    <row r="1" spans="1:18" ht="26.25" x14ac:dyDescent="0.4">
      <c r="A1" s="73" t="s">
        <v>123</v>
      </c>
      <c r="B1" s="134" t="s">
        <v>348</v>
      </c>
      <c r="C1" s="131">
        <f>SUM(C3:C16)</f>
        <v>0</v>
      </c>
      <c r="D1" s="131">
        <f t="shared" ref="D1:N1" si="0">SUM(D3:D16)</f>
        <v>0</v>
      </c>
      <c r="E1" s="131">
        <f t="shared" si="0"/>
        <v>0</v>
      </c>
      <c r="F1" s="131">
        <f t="shared" si="0"/>
        <v>0</v>
      </c>
      <c r="G1" s="131">
        <f t="shared" si="0"/>
        <v>0</v>
      </c>
      <c r="H1" s="131">
        <f t="shared" si="0"/>
        <v>0</v>
      </c>
      <c r="I1" s="131">
        <f t="shared" si="0"/>
        <v>0</v>
      </c>
      <c r="J1" s="131">
        <f t="shared" si="0"/>
        <v>0</v>
      </c>
      <c r="K1" s="131">
        <f t="shared" si="0"/>
        <v>0</v>
      </c>
      <c r="L1" s="131">
        <f t="shared" si="0"/>
        <v>0</v>
      </c>
      <c r="M1" s="131">
        <f t="shared" si="0"/>
        <v>0</v>
      </c>
      <c r="N1" s="131">
        <f t="shared" si="0"/>
        <v>0</v>
      </c>
      <c r="O1" s="74">
        <f>SUM(O3:O16)</f>
        <v>0</v>
      </c>
      <c r="P1" t="s">
        <v>0</v>
      </c>
      <c r="Q1" s="1">
        <f ca="1">TODAY()</f>
        <v>43579</v>
      </c>
      <c r="R1" t="s">
        <v>80</v>
      </c>
    </row>
    <row r="2" spans="1:18" ht="30" x14ac:dyDescent="0.25">
      <c r="B2" s="16" t="s">
        <v>127</v>
      </c>
      <c r="C2" t="s">
        <v>7</v>
      </c>
      <c r="D2" t="s">
        <v>8</v>
      </c>
      <c r="E2" t="s">
        <v>9</v>
      </c>
      <c r="F2" t="s">
        <v>10</v>
      </c>
      <c r="G2" t="s">
        <v>11</v>
      </c>
      <c r="H2" t="s">
        <v>12</v>
      </c>
      <c r="I2" t="s">
        <v>13</v>
      </c>
      <c r="J2" t="s">
        <v>14</v>
      </c>
      <c r="K2" t="s">
        <v>15</v>
      </c>
      <c r="L2" t="s">
        <v>16</v>
      </c>
      <c r="M2" t="s">
        <v>17</v>
      </c>
      <c r="N2" t="s">
        <v>18</v>
      </c>
      <c r="O2" t="s">
        <v>3</v>
      </c>
      <c r="P2" t="s">
        <v>79</v>
      </c>
      <c r="Q2" s="3">
        <f ca="1">MONTH(Q1)</f>
        <v>4</v>
      </c>
      <c r="R2" s="20">
        <f ca="1">O1/Q2</f>
        <v>0</v>
      </c>
    </row>
    <row r="3" spans="1:18" ht="18.75" x14ac:dyDescent="0.3">
      <c r="A3" s="24" t="s">
        <v>45</v>
      </c>
      <c r="B3" s="11">
        <v>200</v>
      </c>
      <c r="C3" s="13">
        <f>'Feste Ausgaben'!C3+'Veränderliche Ausgaben'!C3</f>
        <v>0</v>
      </c>
      <c r="D3" s="13">
        <f>'Feste Ausgaben'!D3+'Veränderliche Ausgaben'!D3</f>
        <v>0</v>
      </c>
      <c r="E3" s="13">
        <f>'Feste Ausgaben'!E3+'Veränderliche Ausgaben'!E3</f>
        <v>0</v>
      </c>
      <c r="F3" s="13">
        <f>'Feste Ausgaben'!F3+'Veränderliche Ausgaben'!F3</f>
        <v>0</v>
      </c>
      <c r="G3" s="13">
        <f>'Feste Ausgaben'!G3+'Veränderliche Ausgaben'!G3</f>
        <v>0</v>
      </c>
      <c r="H3" s="13">
        <f>'Feste Ausgaben'!H3+'Veränderliche Ausgaben'!H3</f>
        <v>0</v>
      </c>
      <c r="I3" s="13">
        <f>'Feste Ausgaben'!I3+'Veränderliche Ausgaben'!I3</f>
        <v>0</v>
      </c>
      <c r="J3" s="13">
        <f>'Feste Ausgaben'!J3+'Veränderliche Ausgaben'!J3</f>
        <v>0</v>
      </c>
      <c r="K3" s="13">
        <f>'Feste Ausgaben'!K3+'Veränderliche Ausgaben'!K3</f>
        <v>0</v>
      </c>
      <c r="L3" s="13">
        <f>'Feste Ausgaben'!L3+'Veränderliche Ausgaben'!L3</f>
        <v>0</v>
      </c>
      <c r="M3" s="13">
        <f>'Feste Ausgaben'!M3+'Veränderliche Ausgaben'!M3</f>
        <v>0</v>
      </c>
      <c r="N3" s="13">
        <f>'Feste Ausgaben'!N3+'Veränderliche Ausgaben'!N3</f>
        <v>0</v>
      </c>
      <c r="O3" s="13">
        <f>SUM(C3:N3)</f>
        <v>0</v>
      </c>
    </row>
    <row r="4" spans="1:18" ht="18.75" x14ac:dyDescent="0.3">
      <c r="A4" s="24" t="s">
        <v>50</v>
      </c>
      <c r="B4" s="11">
        <v>300</v>
      </c>
      <c r="C4" s="13">
        <f>'Veränderliche Ausgaben'!C7</f>
        <v>0</v>
      </c>
      <c r="D4" s="13">
        <f>'Veränderliche Ausgaben'!D7</f>
        <v>0</v>
      </c>
      <c r="E4" s="13">
        <f>'Veränderliche Ausgaben'!E7</f>
        <v>0</v>
      </c>
      <c r="F4" s="13">
        <f>'Veränderliche Ausgaben'!F7</f>
        <v>0</v>
      </c>
      <c r="G4" s="13">
        <f>'Veränderliche Ausgaben'!G7</f>
        <v>0</v>
      </c>
      <c r="H4" s="13">
        <f>'Veränderliche Ausgaben'!H7</f>
        <v>0</v>
      </c>
      <c r="I4" s="13">
        <f>'Veränderliche Ausgaben'!I7</f>
        <v>0</v>
      </c>
      <c r="J4" s="13">
        <f>'Veränderliche Ausgaben'!J7</f>
        <v>0</v>
      </c>
      <c r="K4" s="13">
        <f>'Veränderliche Ausgaben'!K7</f>
        <v>0</v>
      </c>
      <c r="L4" s="13">
        <f>'Veränderliche Ausgaben'!L7</f>
        <v>0</v>
      </c>
      <c r="M4" s="13">
        <f>'Veränderliche Ausgaben'!M7</f>
        <v>0</v>
      </c>
      <c r="N4" s="13">
        <f>'Veränderliche Ausgaben'!N7</f>
        <v>0</v>
      </c>
      <c r="O4" s="13">
        <f t="shared" ref="O4:O16" si="1">SUM(C4:N4)</f>
        <v>0</v>
      </c>
    </row>
    <row r="5" spans="1:18" ht="18.75" x14ac:dyDescent="0.3">
      <c r="A5" s="24" t="s">
        <v>91</v>
      </c>
      <c r="B5" s="11">
        <v>400</v>
      </c>
      <c r="C5" s="13">
        <f>'Veränderliche Ausgaben'!C14</f>
        <v>0</v>
      </c>
      <c r="D5" s="13">
        <f>'Veränderliche Ausgaben'!D14</f>
        <v>0</v>
      </c>
      <c r="E5" s="13">
        <f>'Veränderliche Ausgaben'!E14</f>
        <v>0</v>
      </c>
      <c r="F5" s="13">
        <f>'Veränderliche Ausgaben'!F14</f>
        <v>0</v>
      </c>
      <c r="G5" s="13">
        <f>'Veränderliche Ausgaben'!G14</f>
        <v>0</v>
      </c>
      <c r="H5" s="13">
        <f>'Veränderliche Ausgaben'!H14</f>
        <v>0</v>
      </c>
      <c r="I5" s="13">
        <f>'Veränderliche Ausgaben'!I14</f>
        <v>0</v>
      </c>
      <c r="J5" s="13">
        <f>'Veränderliche Ausgaben'!J14</f>
        <v>0</v>
      </c>
      <c r="K5" s="13">
        <f>'Veränderliche Ausgaben'!K14</f>
        <v>0</v>
      </c>
      <c r="L5" s="13">
        <f>'Veränderliche Ausgaben'!L14</f>
        <v>0</v>
      </c>
      <c r="M5" s="13">
        <f>'Veränderliche Ausgaben'!M14</f>
        <v>0</v>
      </c>
      <c r="N5" s="13">
        <f>'Veränderliche Ausgaben'!N14</f>
        <v>0</v>
      </c>
      <c r="O5" s="13">
        <f t="shared" si="1"/>
        <v>0</v>
      </c>
    </row>
    <row r="6" spans="1:18" ht="18.75" x14ac:dyDescent="0.3">
      <c r="A6" s="24" t="s">
        <v>95</v>
      </c>
      <c r="B6" s="11">
        <v>500</v>
      </c>
      <c r="C6" s="13">
        <f>'Veränderliche Ausgaben'!C19</f>
        <v>0</v>
      </c>
      <c r="D6" s="13">
        <f>'Veränderliche Ausgaben'!D19</f>
        <v>0</v>
      </c>
      <c r="E6" s="13">
        <f>'Veränderliche Ausgaben'!E19</f>
        <v>0</v>
      </c>
      <c r="F6" s="13">
        <f>'Veränderliche Ausgaben'!F19</f>
        <v>0</v>
      </c>
      <c r="G6" s="13">
        <f>'Veränderliche Ausgaben'!G19</f>
        <v>0</v>
      </c>
      <c r="H6" s="13">
        <f>'Veränderliche Ausgaben'!H19</f>
        <v>0</v>
      </c>
      <c r="I6" s="13">
        <f>'Veränderliche Ausgaben'!I19</f>
        <v>0</v>
      </c>
      <c r="J6" s="13">
        <f>'Veränderliche Ausgaben'!J19</f>
        <v>0</v>
      </c>
      <c r="K6" s="13">
        <f>'Veränderliche Ausgaben'!K19</f>
        <v>0</v>
      </c>
      <c r="L6" s="13">
        <f>'Veränderliche Ausgaben'!L19</f>
        <v>0</v>
      </c>
      <c r="M6" s="13">
        <f>'Veränderliche Ausgaben'!M19</f>
        <v>0</v>
      </c>
      <c r="N6" s="13">
        <f>'Veränderliche Ausgaben'!N19</f>
        <v>0</v>
      </c>
      <c r="O6" s="13">
        <f t="shared" si="1"/>
        <v>0</v>
      </c>
    </row>
    <row r="7" spans="1:18" ht="18.75" x14ac:dyDescent="0.3">
      <c r="A7" s="24" t="s">
        <v>100</v>
      </c>
      <c r="B7" s="11">
        <v>600</v>
      </c>
      <c r="C7" s="13">
        <f>'Veränderliche Ausgaben'!C25</f>
        <v>0</v>
      </c>
      <c r="D7" s="13">
        <f>'Veränderliche Ausgaben'!D25</f>
        <v>0</v>
      </c>
      <c r="E7" s="13">
        <f>'Veränderliche Ausgaben'!E25</f>
        <v>0</v>
      </c>
      <c r="F7" s="13">
        <f>'Veränderliche Ausgaben'!F25</f>
        <v>0</v>
      </c>
      <c r="G7" s="13">
        <f>'Veränderliche Ausgaben'!G25</f>
        <v>0</v>
      </c>
      <c r="H7" s="13">
        <f>'Veränderliche Ausgaben'!H25</f>
        <v>0</v>
      </c>
      <c r="I7" s="13">
        <f>'Veränderliche Ausgaben'!I25</f>
        <v>0</v>
      </c>
      <c r="J7" s="13">
        <f>'Veränderliche Ausgaben'!J25</f>
        <v>0</v>
      </c>
      <c r="K7" s="13">
        <f>'Veränderliche Ausgaben'!K25</f>
        <v>0</v>
      </c>
      <c r="L7" s="13">
        <f>'Veränderliche Ausgaben'!L25</f>
        <v>0</v>
      </c>
      <c r="M7" s="13">
        <f>'Veränderliche Ausgaben'!M25</f>
        <v>0</v>
      </c>
      <c r="N7" s="13">
        <f>'Veränderliche Ausgaben'!N25</f>
        <v>0</v>
      </c>
      <c r="O7" s="13">
        <f t="shared" si="1"/>
        <v>0</v>
      </c>
    </row>
    <row r="8" spans="1:18" ht="18.75" x14ac:dyDescent="0.3">
      <c r="A8" s="24" t="s">
        <v>51</v>
      </c>
      <c r="B8" s="11">
        <v>700</v>
      </c>
      <c r="C8" s="13">
        <f>'Feste Ausgaben'!C11+'Veränderliche Ausgaben'!C29</f>
        <v>0</v>
      </c>
      <c r="D8" s="13">
        <f>'Feste Ausgaben'!D11+'Veränderliche Ausgaben'!D29</f>
        <v>0</v>
      </c>
      <c r="E8" s="13">
        <f>'Feste Ausgaben'!E11+'Veränderliche Ausgaben'!E29</f>
        <v>0</v>
      </c>
      <c r="F8" s="13">
        <f>'Feste Ausgaben'!F11+'Veränderliche Ausgaben'!F29</f>
        <v>0</v>
      </c>
      <c r="G8" s="13">
        <f>'Feste Ausgaben'!G11+'Veränderliche Ausgaben'!G29</f>
        <v>0</v>
      </c>
      <c r="H8" s="121">
        <f>'Feste Ausgaben'!H11+'Veränderliche Ausgaben'!H29</f>
        <v>0</v>
      </c>
      <c r="I8" s="13">
        <f>'Feste Ausgaben'!I11+'Veränderliche Ausgaben'!I29</f>
        <v>0</v>
      </c>
      <c r="J8" s="13">
        <f>'Feste Ausgaben'!J11+'Veränderliche Ausgaben'!J29</f>
        <v>0</v>
      </c>
      <c r="K8" s="13">
        <f>'Feste Ausgaben'!K11+'Veränderliche Ausgaben'!K29</f>
        <v>0</v>
      </c>
      <c r="L8" s="13">
        <f>'Feste Ausgaben'!L11+'Veränderliche Ausgaben'!L29</f>
        <v>0</v>
      </c>
      <c r="M8" s="13">
        <f>'Feste Ausgaben'!M11+'Veränderliche Ausgaben'!M29</f>
        <v>0</v>
      </c>
      <c r="N8" s="13">
        <f>'Feste Ausgaben'!N11+'Veränderliche Ausgaben'!N29</f>
        <v>0</v>
      </c>
      <c r="O8" s="13">
        <f t="shared" si="1"/>
        <v>0</v>
      </c>
    </row>
    <row r="9" spans="1:18" ht="18.75" x14ac:dyDescent="0.3">
      <c r="A9" s="24" t="s">
        <v>4</v>
      </c>
      <c r="B9" s="11">
        <v>800</v>
      </c>
      <c r="C9" s="13">
        <f>'Feste Ausgaben'!C16+'Veränderliche Ausgaben'!C32</f>
        <v>0</v>
      </c>
      <c r="D9" s="13">
        <f>'Feste Ausgaben'!D16+'Veränderliche Ausgaben'!D32</f>
        <v>0</v>
      </c>
      <c r="E9" s="13">
        <f>'Feste Ausgaben'!E16+'Veränderliche Ausgaben'!E32</f>
        <v>0</v>
      </c>
      <c r="F9" s="13">
        <f>'Feste Ausgaben'!F16+'Veränderliche Ausgaben'!F32</f>
        <v>0</v>
      </c>
      <c r="G9" s="13">
        <f>'Feste Ausgaben'!G16+'Veränderliche Ausgaben'!G32</f>
        <v>0</v>
      </c>
      <c r="H9" s="13">
        <f>'Feste Ausgaben'!H16+'Veränderliche Ausgaben'!H32</f>
        <v>0</v>
      </c>
      <c r="I9" s="13">
        <f>'Feste Ausgaben'!I16+'Veränderliche Ausgaben'!I32</f>
        <v>0</v>
      </c>
      <c r="J9" s="13">
        <f>'Feste Ausgaben'!J16+'Veränderliche Ausgaben'!J32</f>
        <v>0</v>
      </c>
      <c r="K9" s="13">
        <f>'Feste Ausgaben'!K16+'Veränderliche Ausgaben'!K32</f>
        <v>0</v>
      </c>
      <c r="L9" s="13">
        <f>'Feste Ausgaben'!L16+'Veränderliche Ausgaben'!L32</f>
        <v>0</v>
      </c>
      <c r="M9" s="13">
        <f>'Feste Ausgaben'!M16+'Veränderliche Ausgaben'!M32</f>
        <v>0</v>
      </c>
      <c r="N9" s="13">
        <f>'Feste Ausgaben'!N16+'Veränderliche Ausgaben'!N32</f>
        <v>0</v>
      </c>
      <c r="O9" s="13">
        <f t="shared" si="1"/>
        <v>0</v>
      </c>
    </row>
    <row r="10" spans="1:18" ht="18.75" x14ac:dyDescent="0.3">
      <c r="A10" s="24" t="s">
        <v>58</v>
      </c>
      <c r="B10" s="11">
        <v>900</v>
      </c>
      <c r="C10" s="13">
        <f>'Feste Ausgaben'!C19+'Veränderliche Ausgaben'!C36</f>
        <v>0</v>
      </c>
      <c r="D10" s="13">
        <f>'Feste Ausgaben'!D19+'Veränderliche Ausgaben'!D36</f>
        <v>0</v>
      </c>
      <c r="E10" s="13">
        <f>'Feste Ausgaben'!E19+'Veränderliche Ausgaben'!E36</f>
        <v>0</v>
      </c>
      <c r="F10" s="13">
        <f>'Feste Ausgaben'!F19+'Veränderliche Ausgaben'!F36</f>
        <v>0</v>
      </c>
      <c r="G10" s="13">
        <f>'Feste Ausgaben'!G19+'Veränderliche Ausgaben'!G36</f>
        <v>0</v>
      </c>
      <c r="H10" s="13">
        <f>'Feste Ausgaben'!H19+'Veränderliche Ausgaben'!H36</f>
        <v>0</v>
      </c>
      <c r="I10" s="13">
        <f>'Feste Ausgaben'!I19+'Veränderliche Ausgaben'!I36</f>
        <v>0</v>
      </c>
      <c r="J10" s="13">
        <f>'Feste Ausgaben'!J19+'Veränderliche Ausgaben'!J36</f>
        <v>0</v>
      </c>
      <c r="K10" s="13">
        <f>'Feste Ausgaben'!K19+'Veränderliche Ausgaben'!K36</f>
        <v>0</v>
      </c>
      <c r="L10" s="13">
        <f>'Feste Ausgaben'!L19+'Veränderliche Ausgaben'!L36</f>
        <v>0</v>
      </c>
      <c r="M10" s="13">
        <f>'Feste Ausgaben'!M19+'Veränderliche Ausgaben'!M36</f>
        <v>0</v>
      </c>
      <c r="N10" s="13">
        <f>'Feste Ausgaben'!N19+'Veränderliche Ausgaben'!N36</f>
        <v>0</v>
      </c>
      <c r="O10" s="13">
        <f t="shared" si="1"/>
        <v>0</v>
      </c>
    </row>
    <row r="11" spans="1:18" ht="18.75" x14ac:dyDescent="0.3">
      <c r="A11" s="24" t="s">
        <v>62</v>
      </c>
      <c r="B11" s="11">
        <v>1000</v>
      </c>
      <c r="C11" s="13">
        <f>'Feste Ausgaben'!C24</f>
        <v>0</v>
      </c>
      <c r="D11" s="13">
        <f>'Feste Ausgaben'!D24</f>
        <v>0</v>
      </c>
      <c r="E11" s="13">
        <f>'Feste Ausgaben'!E24</f>
        <v>0</v>
      </c>
      <c r="F11" s="13">
        <f>'Feste Ausgaben'!F24</f>
        <v>0</v>
      </c>
      <c r="G11" s="13">
        <f>'Feste Ausgaben'!G24</f>
        <v>0</v>
      </c>
      <c r="H11" s="13">
        <f>'Feste Ausgaben'!H24</f>
        <v>0</v>
      </c>
      <c r="I11" s="13">
        <f>'Feste Ausgaben'!I24</f>
        <v>0</v>
      </c>
      <c r="J11" s="13">
        <f>'Feste Ausgaben'!J24</f>
        <v>0</v>
      </c>
      <c r="K11" s="13">
        <f>'Feste Ausgaben'!K24</f>
        <v>0</v>
      </c>
      <c r="L11" s="13">
        <f>'Feste Ausgaben'!L24</f>
        <v>0</v>
      </c>
      <c r="M11" s="13">
        <f>'Feste Ausgaben'!M24</f>
        <v>0</v>
      </c>
      <c r="N11" s="13">
        <f>'Feste Ausgaben'!N24</f>
        <v>0</v>
      </c>
      <c r="O11" s="13">
        <f t="shared" si="1"/>
        <v>0</v>
      </c>
    </row>
    <row r="12" spans="1:18" ht="18.75" x14ac:dyDescent="0.3">
      <c r="A12" s="24" t="s">
        <v>66</v>
      </c>
      <c r="B12" s="11">
        <v>1100</v>
      </c>
      <c r="C12" s="13">
        <f>'Feste Ausgaben'!C27+'Veränderliche Ausgaben'!C43</f>
        <v>0</v>
      </c>
      <c r="D12" s="13">
        <f>'Feste Ausgaben'!D27+'Veränderliche Ausgaben'!D43</f>
        <v>0</v>
      </c>
      <c r="E12" s="13">
        <f>'Feste Ausgaben'!E27+'Veränderliche Ausgaben'!E43</f>
        <v>0</v>
      </c>
      <c r="F12" s="13">
        <f>'Feste Ausgaben'!F27+'Veränderliche Ausgaben'!F43</f>
        <v>0</v>
      </c>
      <c r="G12" s="13">
        <f>'Feste Ausgaben'!G27+'Veränderliche Ausgaben'!G43</f>
        <v>0</v>
      </c>
      <c r="H12" s="13">
        <f>'Feste Ausgaben'!H27+'Veränderliche Ausgaben'!H43</f>
        <v>0</v>
      </c>
      <c r="I12" s="13">
        <f>'Feste Ausgaben'!I27+'Veränderliche Ausgaben'!I43</f>
        <v>0</v>
      </c>
      <c r="J12" s="13">
        <f>'Feste Ausgaben'!J27+'Veränderliche Ausgaben'!J43</f>
        <v>0</v>
      </c>
      <c r="K12" s="13">
        <f>'Feste Ausgaben'!K27+'Veränderliche Ausgaben'!K43</f>
        <v>0</v>
      </c>
      <c r="L12" s="13">
        <f>'Feste Ausgaben'!L27+'Veränderliche Ausgaben'!L43</f>
        <v>0</v>
      </c>
      <c r="M12" s="13">
        <f>'Feste Ausgaben'!M27+'Veränderliche Ausgaben'!M43</f>
        <v>0</v>
      </c>
      <c r="N12" s="13">
        <f>'Feste Ausgaben'!N27+'Veränderliche Ausgaben'!N43</f>
        <v>0</v>
      </c>
      <c r="O12" s="13">
        <f t="shared" si="1"/>
        <v>0</v>
      </c>
    </row>
    <row r="13" spans="1:18" ht="18.75" x14ac:dyDescent="0.3">
      <c r="A13" s="24" t="s">
        <v>65</v>
      </c>
      <c r="B13" s="11">
        <v>1200</v>
      </c>
      <c r="C13" s="13">
        <f>'Feste Ausgaben'!C30</f>
        <v>0</v>
      </c>
      <c r="D13" s="13">
        <f>'Feste Ausgaben'!D30</f>
        <v>0</v>
      </c>
      <c r="E13" s="13">
        <f>'Feste Ausgaben'!E30</f>
        <v>0</v>
      </c>
      <c r="F13" s="13">
        <f>'Feste Ausgaben'!F30</f>
        <v>0</v>
      </c>
      <c r="G13" s="13">
        <f>'Feste Ausgaben'!G30</f>
        <v>0</v>
      </c>
      <c r="H13" s="13">
        <f>'Feste Ausgaben'!H30</f>
        <v>0</v>
      </c>
      <c r="I13" s="13">
        <f>'Feste Ausgaben'!I30</f>
        <v>0</v>
      </c>
      <c r="J13" s="13">
        <f>'Feste Ausgaben'!J30</f>
        <v>0</v>
      </c>
      <c r="K13" s="13">
        <f>'Feste Ausgaben'!K30</f>
        <v>0</v>
      </c>
      <c r="L13" s="13">
        <f>'Feste Ausgaben'!L30</f>
        <v>0</v>
      </c>
      <c r="M13" s="13">
        <f>'Feste Ausgaben'!M30</f>
        <v>0</v>
      </c>
      <c r="N13" s="13">
        <f>'Feste Ausgaben'!N30</f>
        <v>0</v>
      </c>
      <c r="O13" s="13">
        <f t="shared" si="1"/>
        <v>0</v>
      </c>
    </row>
    <row r="14" spans="1:18" ht="18.75" x14ac:dyDescent="0.3">
      <c r="A14" s="24" t="s">
        <v>68</v>
      </c>
      <c r="B14" s="11">
        <v>1300</v>
      </c>
      <c r="C14" s="13">
        <f>'Feste Ausgaben'!C34</f>
        <v>0</v>
      </c>
      <c r="D14" s="13">
        <f>'Feste Ausgaben'!D34</f>
        <v>0</v>
      </c>
      <c r="E14" s="13">
        <f>'Feste Ausgaben'!E34</f>
        <v>0</v>
      </c>
      <c r="F14" s="13">
        <f>'Feste Ausgaben'!F34</f>
        <v>0</v>
      </c>
      <c r="G14" s="13">
        <f>'Feste Ausgaben'!G34</f>
        <v>0</v>
      </c>
      <c r="H14" s="13">
        <f>'Feste Ausgaben'!H34</f>
        <v>0</v>
      </c>
      <c r="I14" s="13">
        <f>'Feste Ausgaben'!I34</f>
        <v>0</v>
      </c>
      <c r="J14" s="13">
        <f>'Feste Ausgaben'!J34</f>
        <v>0</v>
      </c>
      <c r="K14" s="13">
        <f>'Feste Ausgaben'!K34</f>
        <v>0</v>
      </c>
      <c r="L14" s="13">
        <f>'Feste Ausgaben'!L34</f>
        <v>0</v>
      </c>
      <c r="M14" s="13">
        <f>'Feste Ausgaben'!M34</f>
        <v>0</v>
      </c>
      <c r="N14" s="13">
        <f>'Feste Ausgaben'!N34</f>
        <v>0</v>
      </c>
      <c r="O14" s="13">
        <f t="shared" si="1"/>
        <v>0</v>
      </c>
    </row>
    <row r="15" spans="1:18" ht="18.75" x14ac:dyDescent="0.3">
      <c r="A15" s="24" t="s">
        <v>73</v>
      </c>
      <c r="B15" s="11">
        <v>1400</v>
      </c>
      <c r="C15" s="13">
        <f>'Feste Ausgaben'!C39</f>
        <v>0</v>
      </c>
      <c r="D15" s="13">
        <f>'Feste Ausgaben'!D39</f>
        <v>0</v>
      </c>
      <c r="E15" s="13">
        <f>'Feste Ausgaben'!E39</f>
        <v>0</v>
      </c>
      <c r="F15" s="13">
        <f>'Feste Ausgaben'!F39</f>
        <v>0</v>
      </c>
      <c r="G15" s="13">
        <f>'Feste Ausgaben'!G39</f>
        <v>0</v>
      </c>
      <c r="H15" s="13">
        <f>'Feste Ausgaben'!H39</f>
        <v>0</v>
      </c>
      <c r="I15" s="13">
        <f>'Feste Ausgaben'!I39</f>
        <v>0</v>
      </c>
      <c r="J15" s="13">
        <f>'Feste Ausgaben'!J39</f>
        <v>0</v>
      </c>
      <c r="K15" s="13">
        <f>'Feste Ausgaben'!K39</f>
        <v>0</v>
      </c>
      <c r="L15" s="13">
        <f>'Feste Ausgaben'!L39</f>
        <v>0</v>
      </c>
      <c r="M15" s="13">
        <f>'Feste Ausgaben'!M39</f>
        <v>0</v>
      </c>
      <c r="N15" s="13">
        <f>'Feste Ausgaben'!N39</f>
        <v>0</v>
      </c>
      <c r="O15" s="13">
        <f t="shared" si="1"/>
        <v>0</v>
      </c>
    </row>
    <row r="16" spans="1:18" ht="18.75" customHeight="1" x14ac:dyDescent="0.3">
      <c r="A16" s="24" t="s">
        <v>265</v>
      </c>
      <c r="B16" s="11">
        <v>1500</v>
      </c>
      <c r="C16" s="4">
        <f>'Veränderliche Ausgaben'!C46</f>
        <v>0</v>
      </c>
      <c r="D16" s="4">
        <f>'Veränderliche Ausgaben'!D46</f>
        <v>0</v>
      </c>
      <c r="E16" s="4">
        <f>'Veränderliche Ausgaben'!E46</f>
        <v>0</v>
      </c>
      <c r="F16" s="4">
        <f>'Veränderliche Ausgaben'!F46</f>
        <v>0</v>
      </c>
      <c r="G16" s="4">
        <f>'Veränderliche Ausgaben'!G46</f>
        <v>0</v>
      </c>
      <c r="H16" s="4">
        <f>'Veränderliche Ausgaben'!H46</f>
        <v>0</v>
      </c>
      <c r="I16" s="4">
        <f>'Veränderliche Ausgaben'!I46</f>
        <v>0</v>
      </c>
      <c r="J16" s="4">
        <f>'Veränderliche Ausgaben'!J46</f>
        <v>0</v>
      </c>
      <c r="K16" s="4">
        <f>'Veränderliche Ausgaben'!K46</f>
        <v>0</v>
      </c>
      <c r="L16" s="4">
        <f>'Veränderliche Ausgaben'!L46</f>
        <v>0</v>
      </c>
      <c r="M16" s="4">
        <f>'Veränderliche Ausgaben'!M46</f>
        <v>0</v>
      </c>
      <c r="N16" s="4">
        <f>'Veränderliche Ausgaben'!N46</f>
        <v>0</v>
      </c>
      <c r="O16" s="13">
        <f t="shared" si="1"/>
        <v>0</v>
      </c>
    </row>
  </sheetData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4"/>
  <dimension ref="A1:S66"/>
  <sheetViews>
    <sheetView workbookViewId="0">
      <pane ySplit="2" topLeftCell="A3" activePane="bottomLeft" state="frozen"/>
      <selection pane="bottomLeft" activeCell="L16" sqref="L16"/>
    </sheetView>
  </sheetViews>
  <sheetFormatPr baseColWidth="10" defaultRowHeight="15" x14ac:dyDescent="0.25"/>
  <cols>
    <col min="1" max="1" width="44" customWidth="1"/>
    <col min="2" max="2" width="13" customWidth="1"/>
    <col min="15" max="15" width="12.7109375" customWidth="1"/>
    <col min="16" max="16" width="20.85546875" customWidth="1"/>
    <col min="18" max="18" width="10.7109375" customWidth="1"/>
    <col min="19" max="19" width="11.5703125" customWidth="1"/>
  </cols>
  <sheetData>
    <row r="1" spans="1:19" ht="27" customHeight="1" x14ac:dyDescent="0.4">
      <c r="A1" s="54" t="s">
        <v>35</v>
      </c>
      <c r="B1" s="133" t="s">
        <v>348</v>
      </c>
      <c r="C1" s="132">
        <f>SUM(C3,C11,C16,C19,C24,C27,C30,C34,C39)</f>
        <v>0</v>
      </c>
      <c r="D1" s="132">
        <f>SUM(D3,D11,D16,D19,D24,D27,D30,D34,D39)</f>
        <v>0</v>
      </c>
      <c r="E1" s="132">
        <f t="shared" ref="E1:O1" si="0">SUM(E3,E11,E16,E19,E24,E27,E30,E34,E39)</f>
        <v>0</v>
      </c>
      <c r="F1" s="132">
        <f t="shared" si="0"/>
        <v>0</v>
      </c>
      <c r="G1" s="132">
        <f t="shared" si="0"/>
        <v>0</v>
      </c>
      <c r="H1" s="132">
        <f t="shared" si="0"/>
        <v>0</v>
      </c>
      <c r="I1" s="132">
        <f t="shared" si="0"/>
        <v>0</v>
      </c>
      <c r="J1" s="132">
        <f t="shared" si="0"/>
        <v>0</v>
      </c>
      <c r="K1" s="132">
        <f t="shared" si="0"/>
        <v>0</v>
      </c>
      <c r="L1" s="132">
        <f t="shared" si="0"/>
        <v>0</v>
      </c>
      <c r="M1" s="132">
        <f t="shared" si="0"/>
        <v>0</v>
      </c>
      <c r="N1" s="132">
        <f t="shared" si="0"/>
        <v>0</v>
      </c>
      <c r="O1" s="132">
        <f t="shared" si="0"/>
        <v>0</v>
      </c>
      <c r="P1" s="33"/>
      <c r="Q1" t="s">
        <v>0</v>
      </c>
      <c r="R1" s="1">
        <f ca="1">TODAY()</f>
        <v>43579</v>
      </c>
      <c r="S1" t="s">
        <v>80</v>
      </c>
    </row>
    <row r="2" spans="1:19" x14ac:dyDescent="0.25">
      <c r="B2" t="s">
        <v>119</v>
      </c>
      <c r="C2" t="s">
        <v>7</v>
      </c>
      <c r="D2" t="s">
        <v>8</v>
      </c>
      <c r="E2" t="s">
        <v>9</v>
      </c>
      <c r="F2" t="s">
        <v>10</v>
      </c>
      <c r="G2" t="s">
        <v>11</v>
      </c>
      <c r="H2" t="s">
        <v>12</v>
      </c>
      <c r="I2" t="s">
        <v>13</v>
      </c>
      <c r="J2" t="s">
        <v>14</v>
      </c>
      <c r="K2" t="s">
        <v>15</v>
      </c>
      <c r="L2" t="s">
        <v>16</v>
      </c>
      <c r="M2" t="s">
        <v>17</v>
      </c>
      <c r="N2" t="s">
        <v>18</v>
      </c>
      <c r="O2" t="s">
        <v>3</v>
      </c>
      <c r="P2" t="s">
        <v>1</v>
      </c>
      <c r="Q2" t="s">
        <v>79</v>
      </c>
      <c r="R2" s="3">
        <f ca="1">MONTH(R1)</f>
        <v>4</v>
      </c>
      <c r="S2" s="12">
        <f ca="1">O1/R2</f>
        <v>0</v>
      </c>
    </row>
    <row r="3" spans="1:19" ht="18.75" x14ac:dyDescent="0.3">
      <c r="A3" s="24" t="s">
        <v>45</v>
      </c>
      <c r="B3" s="11">
        <v>200</v>
      </c>
      <c r="C3" s="9">
        <f>SUM(C4:C10)</f>
        <v>0</v>
      </c>
      <c r="D3" s="9">
        <f t="shared" ref="D3:N3" si="1">SUM(D4:D10)</f>
        <v>0</v>
      </c>
      <c r="E3" s="9">
        <f t="shared" si="1"/>
        <v>0</v>
      </c>
      <c r="F3" s="9">
        <f t="shared" si="1"/>
        <v>0</v>
      </c>
      <c r="G3" s="9">
        <f t="shared" si="1"/>
        <v>0</v>
      </c>
      <c r="H3" s="9">
        <f t="shared" si="1"/>
        <v>0</v>
      </c>
      <c r="I3" s="9">
        <f t="shared" si="1"/>
        <v>0</v>
      </c>
      <c r="J3" s="9">
        <f t="shared" si="1"/>
        <v>0</v>
      </c>
      <c r="K3" s="9">
        <f t="shared" si="1"/>
        <v>0</v>
      </c>
      <c r="L3" s="9">
        <f t="shared" si="1"/>
        <v>0</v>
      </c>
      <c r="M3" s="9">
        <f t="shared" si="1"/>
        <v>0</v>
      </c>
      <c r="N3" s="9">
        <f t="shared" si="1"/>
        <v>0</v>
      </c>
      <c r="O3" s="9">
        <f t="shared" ref="O3:O34" si="2">SUM(C3:N3)</f>
        <v>0</v>
      </c>
    </row>
    <row r="4" spans="1:19" x14ac:dyDescent="0.25">
      <c r="A4" t="s">
        <v>46</v>
      </c>
      <c r="B4">
        <v>201</v>
      </c>
      <c r="C4" s="4">
        <f>SUMIFS(Ausg._Liste!$H$4:$H$550,Ausg._Liste!$F$4:$F$550,201,Ausg._Liste!$G$4:$G$550,1)</f>
        <v>0</v>
      </c>
      <c r="D4" s="4">
        <f>SUMIFS(Ausg._Liste!$H$4:$H$550,Ausg._Liste!$F$4:$F$550,201,Ausg._Liste!$G$4:$G$550,2)</f>
        <v>0</v>
      </c>
      <c r="E4" s="4">
        <f>SUMIFS(Ausg._Liste!$H$4:$H$550,Ausg._Liste!$F$4:$F$550,201,Ausg._Liste!$G$4:$G$550,3)</f>
        <v>0</v>
      </c>
      <c r="F4" s="4">
        <f>SUMIFS(Ausg._Liste!$H$4:$H$550,Ausg._Liste!$F$4:$F$550,201,Ausg._Liste!$G$4:$G$550,4)</f>
        <v>0</v>
      </c>
      <c r="G4" s="4">
        <f>SUMIFS(Ausg._Liste!$H$4:$H$550,Ausg._Liste!$F$4:$F$550,201,Ausg._Liste!$G$4:$G$550,5)</f>
        <v>0</v>
      </c>
      <c r="H4" s="4">
        <f>SUMIFS(Ausg._Liste!$H$4:$H$550,Ausg._Liste!$F$4:$F$550,201,Ausg._Liste!$G$4:$G$550,6)</f>
        <v>0</v>
      </c>
      <c r="I4" s="4">
        <f>SUMIFS(Ausg._Liste!$H$4:$H$550,Ausg._Liste!$F$4:$F$550,201,Ausg._Liste!$G$4:$G$550,7)</f>
        <v>0</v>
      </c>
      <c r="J4" s="4">
        <f>SUMIFS(Ausg._Liste!$H$4:$H$550,Ausg._Liste!$F$4:$F$550,201,Ausg._Liste!$G$4:$G$550,8)</f>
        <v>0</v>
      </c>
      <c r="K4" s="4">
        <f>SUMIFS(Ausg._Liste!$H$4:$H$550,Ausg._Liste!$F$4:$F$550,201,Ausg._Liste!$G$4:$G$550,9)</f>
        <v>0</v>
      </c>
      <c r="L4" s="4">
        <f>SUMIFS(Ausg._Liste!$H$4:$H$550,Ausg._Liste!$F$4:$F$550,201,Ausg._Liste!$G$4:$G$550,10)</f>
        <v>0</v>
      </c>
      <c r="M4" s="4">
        <f>SUMIFS(Ausg._Liste!$H$4:$H$550,Ausg._Liste!$F$4:$F$550,201,Ausg._Liste!$G$4:$G$550,11)</f>
        <v>0</v>
      </c>
      <c r="N4" s="4">
        <f>SUMIFS(Ausg._Liste!$H$4:$H$550,Ausg._Liste!$F$4:$F$550,201,Ausg._Liste!$G$4:$G$550,12)</f>
        <v>0</v>
      </c>
      <c r="O4" s="4">
        <f t="shared" si="2"/>
        <v>0</v>
      </c>
      <c r="P4" s="4"/>
    </row>
    <row r="5" spans="1:19" x14ac:dyDescent="0.25">
      <c r="A5" t="s">
        <v>47</v>
      </c>
      <c r="B5">
        <v>202</v>
      </c>
      <c r="C5" s="4">
        <f>SUMIFS(Ausg._Liste!$H$4:$H$550,Ausg._Liste!$F$4:$F$550,202,Ausg._Liste!$G$4:$G$550,1)</f>
        <v>0</v>
      </c>
      <c r="D5" s="4">
        <f>SUMIFS(Ausg._Liste!$H$4:$H$550,Ausg._Liste!$F$4:$F$550,202,Ausg._Liste!$G$4:$G$550,2)</f>
        <v>0</v>
      </c>
      <c r="E5" s="4">
        <f>SUMIFS(Ausg._Liste!$H$4:$H$550,Ausg._Liste!$F$4:$F$550,202,Ausg._Liste!$G$4:$G$550,3)</f>
        <v>0</v>
      </c>
      <c r="F5" s="4">
        <f>SUMIFS(Ausg._Liste!$H$4:$H$550,Ausg._Liste!$F$4:$F$550,202,Ausg._Liste!$G$4:$G$550,4)</f>
        <v>0</v>
      </c>
      <c r="G5" s="4">
        <f>SUMIFS(Ausg._Liste!$H$4:$H$550,Ausg._Liste!$F$4:$F$550,202,Ausg._Liste!$G$4:$G$550,5)</f>
        <v>0</v>
      </c>
      <c r="H5" s="4">
        <f>SUMIFS(Ausg._Liste!$H$4:$H$550,Ausg._Liste!$F$4:$F$550,202,Ausg._Liste!$G$4:$G$550,6)</f>
        <v>0</v>
      </c>
      <c r="I5" s="4">
        <f>SUMIFS(Ausg._Liste!$H$4:$H$550,Ausg._Liste!$F$4:$F$550,202,Ausg._Liste!$G$4:$G$550,7)</f>
        <v>0</v>
      </c>
      <c r="J5" s="4">
        <f>SUMIFS(Ausg._Liste!$H$4:$H$550,Ausg._Liste!$F$4:$F$550,202,Ausg._Liste!$G$4:$G$550,8)</f>
        <v>0</v>
      </c>
      <c r="K5" s="4">
        <f>SUMIFS(Ausg._Liste!$H$4:$H$550,Ausg._Liste!$F$4:$F$550,202,Ausg._Liste!$G$4:$G$550,9)</f>
        <v>0</v>
      </c>
      <c r="L5" s="4">
        <f>SUMIFS(Ausg._Liste!$H$4:$H$550,Ausg._Liste!$F$4:$F$550,202,Ausg._Liste!$G$4:$G$550,10)</f>
        <v>0</v>
      </c>
      <c r="M5" s="4">
        <f>SUMIFS(Ausg._Liste!$H$4:$H$550,Ausg._Liste!$F$4:$F$550,202,Ausg._Liste!$G$4:$G$550,11)</f>
        <v>0</v>
      </c>
      <c r="N5" s="4">
        <f>SUMIFS(Ausg._Liste!$H$4:$H$550,Ausg._Liste!$F$4:$F$550,202,Ausg._Liste!$G$4:$G$550,12)</f>
        <v>0</v>
      </c>
      <c r="O5" s="4">
        <f t="shared" si="2"/>
        <v>0</v>
      </c>
      <c r="P5" s="4"/>
    </row>
    <row r="6" spans="1:19" x14ac:dyDescent="0.25">
      <c r="A6" t="s">
        <v>48</v>
      </c>
      <c r="B6">
        <v>203</v>
      </c>
      <c r="C6" s="4">
        <f>SUMIFS(Ausg._Liste!$H$4:$H$550,Ausg._Liste!$F$4:$F$550,203,Ausg._Liste!$G$4:$G$550,1)</f>
        <v>0</v>
      </c>
      <c r="D6" s="4">
        <f>SUMIFS(Ausg._Liste!$H$4:$H$550,Ausg._Liste!$F$4:$F$550,203,Ausg._Liste!$G$4:$G$550,2)</f>
        <v>0</v>
      </c>
      <c r="E6" s="4">
        <f>SUMIFS(Ausg._Liste!$H$4:$H$550,Ausg._Liste!$F$4:$F$550,203,Ausg._Liste!$G$4:$G$550,3)</f>
        <v>0</v>
      </c>
      <c r="F6" s="4">
        <f>SUMIFS(Ausg._Liste!$H$4:$H$550,Ausg._Liste!$F$4:$F$550,203,Ausg._Liste!$G$4:$G$550,4)</f>
        <v>0</v>
      </c>
      <c r="G6" s="4">
        <f>SUMIFS(Ausg._Liste!$H$4:$H$550,Ausg._Liste!$F$4:$F$550,203,Ausg._Liste!$G$4:$G$550,5)</f>
        <v>0</v>
      </c>
      <c r="H6" s="4">
        <f>SUMIFS(Ausg._Liste!$H$4:$H$550,Ausg._Liste!$F$4:$F$550,203,Ausg._Liste!$G$4:$G$550,6)</f>
        <v>0</v>
      </c>
      <c r="I6" s="4">
        <f>SUMIFS(Ausg._Liste!$H$4:$H$550,Ausg._Liste!$F$4:$F$550,203,Ausg._Liste!$G$4:$G$550,7)</f>
        <v>0</v>
      </c>
      <c r="J6" s="4">
        <f>SUMIFS(Ausg._Liste!$H$4:$H$550,Ausg._Liste!$F$4:$F$550,203,Ausg._Liste!$G$4:$G$550,8)</f>
        <v>0</v>
      </c>
      <c r="K6" s="4">
        <f>SUMIFS(Ausg._Liste!$H$4:$H$550,Ausg._Liste!$F$4:$F$550,203,Ausg._Liste!$G$4:$G$550,9)</f>
        <v>0</v>
      </c>
      <c r="L6" s="4">
        <f>SUMIFS(Ausg._Liste!$H$4:$H$550,Ausg._Liste!$F$4:$F$550,203,Ausg._Liste!$G$4:$G$550,10)</f>
        <v>0</v>
      </c>
      <c r="M6" s="4">
        <f>SUMIFS(Ausg._Liste!$H$4:$H$550,Ausg._Liste!$F$4:$F$550,203,Ausg._Liste!$G$4:$G$550,11)</f>
        <v>0</v>
      </c>
      <c r="N6" s="4">
        <f>SUMIFS(Ausg._Liste!$H$4:$H$550,Ausg._Liste!$F$4:$F$550,203,Ausg._Liste!$G$4:$G$550,12)</f>
        <v>0</v>
      </c>
      <c r="O6" s="4">
        <f t="shared" si="2"/>
        <v>0</v>
      </c>
      <c r="P6" s="4"/>
    </row>
    <row r="7" spans="1:19" x14ac:dyDescent="0.25">
      <c r="A7" t="s">
        <v>49</v>
      </c>
      <c r="B7">
        <v>204</v>
      </c>
      <c r="C7" s="4">
        <f>SUMIFS(Ausg._Liste!$H$4:$H$550,Ausg._Liste!$F$4:$F$550,204,Ausg._Liste!$G$4:$G$550,1)</f>
        <v>0</v>
      </c>
      <c r="D7" s="4">
        <f>SUMIFS(Ausg._Liste!$H$4:$H$550,Ausg._Liste!$F$4:$F$550,204,Ausg._Liste!$G$4:$G$550,2)</f>
        <v>0</v>
      </c>
      <c r="E7" s="4">
        <f>SUMIFS(Ausg._Liste!$H$4:$H$550,Ausg._Liste!$F$4:$F$550,204,Ausg._Liste!$G$4:$G$550,3)</f>
        <v>0</v>
      </c>
      <c r="F7" s="4">
        <f>SUMIFS(Ausg._Liste!$H$4:$H$550,Ausg._Liste!$F$4:$F$550,204,Ausg._Liste!$G$4:$G$550,4)</f>
        <v>0</v>
      </c>
      <c r="G7" s="4">
        <f>SUMIFS(Ausg._Liste!$H$4:$H$550,Ausg._Liste!$F$4:$F$550,204,Ausg._Liste!$G$4:$G$550,5)</f>
        <v>0</v>
      </c>
      <c r="H7" s="4">
        <f>SUMIFS(Ausg._Liste!$H$4:$H$550,Ausg._Liste!$F$4:$F$550,204,Ausg._Liste!$G$4:$G$550,6)</f>
        <v>0</v>
      </c>
      <c r="I7" s="4">
        <f>SUMIFS(Ausg._Liste!$H$4:$H$550,Ausg._Liste!$F$4:$F$550,204,Ausg._Liste!$G$4:$G$550,7)</f>
        <v>0</v>
      </c>
      <c r="J7" s="4">
        <f>SUMIFS(Ausg._Liste!$H$4:$H$550,Ausg._Liste!$F$4:$F$550,204,Ausg._Liste!$G$4:$G$550,8)</f>
        <v>0</v>
      </c>
      <c r="K7" s="4">
        <f>SUMIFS(Ausg._Liste!$H$4:$H$550,Ausg._Liste!$F$4:$F$550,204,Ausg._Liste!$G$4:$G$550,9)</f>
        <v>0</v>
      </c>
      <c r="L7" s="4">
        <f>SUMIFS(Ausg._Liste!$H$4:$H$550,Ausg._Liste!$F$4:$F$550,204,Ausg._Liste!$G$4:$G$550,10)</f>
        <v>0</v>
      </c>
      <c r="M7" s="4">
        <f>SUMIFS(Ausg._Liste!$H$4:$H$550,Ausg._Liste!$F$4:$F$550,204,Ausg._Liste!$G$4:$G$550,11)</f>
        <v>0</v>
      </c>
      <c r="N7" s="4">
        <f>SUMIFS(Ausg._Liste!$H$4:$H$550,Ausg._Liste!$F$4:$F$550,204,Ausg._Liste!$G$4:$G$550,12)</f>
        <v>0</v>
      </c>
      <c r="O7" s="4">
        <f t="shared" si="2"/>
        <v>0</v>
      </c>
      <c r="P7" s="4"/>
    </row>
    <row r="8" spans="1:19" x14ac:dyDescent="0.25">
      <c r="A8" t="s">
        <v>118</v>
      </c>
      <c r="B8">
        <v>205</v>
      </c>
      <c r="C8" s="4">
        <f>SUMIFS(Ausg._Liste!$H$4:$H$550,Ausg._Liste!$F$4:$F$550,205,Ausg._Liste!$G$4:$G$550,1)</f>
        <v>0</v>
      </c>
      <c r="D8" s="4">
        <f>SUMIFS(Ausg._Liste!$H$4:$H$550,Ausg._Liste!$F$4:$F$550,205,Ausg._Liste!$G$4:$G$550,2)</f>
        <v>0</v>
      </c>
      <c r="E8" s="4">
        <f>SUMIFS(Ausg._Liste!$H$4:$H$550,Ausg._Liste!$F$4:$F$550,205,Ausg._Liste!$G$4:$G$550,3)</f>
        <v>0</v>
      </c>
      <c r="F8" s="4">
        <f>SUMIFS(Ausg._Liste!$H$4:$H$550,Ausg._Liste!$F$4:$F$550,205,Ausg._Liste!$G$4:$G$550,4)</f>
        <v>0</v>
      </c>
      <c r="G8" s="4">
        <f>SUMIFS(Ausg._Liste!$H$4:$H$550,Ausg._Liste!$F$4:$F$550,205,Ausg._Liste!$G$4:$G$550,5)</f>
        <v>0</v>
      </c>
      <c r="H8" s="4">
        <f>SUMIFS(Ausg._Liste!$H$4:$H$550,Ausg._Liste!$F$4:$F$550,205,Ausg._Liste!$G$4:$G$550,6)</f>
        <v>0</v>
      </c>
      <c r="I8" s="4">
        <f>SUMIFS(Ausg._Liste!$H$4:$H$550,Ausg._Liste!$F$4:$F$550,205,Ausg._Liste!$G$4:$G$550,7)</f>
        <v>0</v>
      </c>
      <c r="J8" s="4">
        <f>SUMIFS(Ausg._Liste!$H$4:$H$550,Ausg._Liste!$F$4:$F$550,205,Ausg._Liste!$G$4:$G$550,8)</f>
        <v>0</v>
      </c>
      <c r="K8" s="4">
        <f>SUMIFS(Ausg._Liste!$H$4:$H$550,Ausg._Liste!$F$4:$F$550,205,Ausg._Liste!$G$4:$G$550,9)</f>
        <v>0</v>
      </c>
      <c r="L8" s="4">
        <f>SUMIFS(Ausg._Liste!$H$4:$H$550,Ausg._Liste!$F$4:$F$550,205,Ausg._Liste!$G$4:$G$550,10)</f>
        <v>0</v>
      </c>
      <c r="M8" s="4">
        <f>SUMIFS(Ausg._Liste!$H$4:$H$550,Ausg._Liste!$F$4:$F$550,205,Ausg._Liste!$G$4:$G$550,11)</f>
        <v>0</v>
      </c>
      <c r="N8" s="4">
        <f>SUMIFS(Ausg._Liste!$H$4:$H$550,Ausg._Liste!$F$4:$F$550,205,Ausg._Liste!$G$4:$G$550,12)</f>
        <v>0</v>
      </c>
      <c r="O8" s="4">
        <f t="shared" si="2"/>
        <v>0</v>
      </c>
      <c r="P8" s="4"/>
    </row>
    <row r="9" spans="1:19" x14ac:dyDescent="0.25">
      <c r="A9" t="s">
        <v>113</v>
      </c>
      <c r="B9">
        <v>206</v>
      </c>
      <c r="C9" s="4">
        <f>SUMIFS(Ausg._Liste!$H$4:$H$550,Ausg._Liste!$F$4:$F$550,206,Ausg._Liste!$G$4:$G$550,1)</f>
        <v>0</v>
      </c>
      <c r="D9" s="4">
        <f>SUMIFS(Ausg._Liste!$H$4:$H$550,Ausg._Liste!$F$4:$F$550,206,Ausg._Liste!$G$4:$G$550,2)</f>
        <v>0</v>
      </c>
      <c r="E9" s="4">
        <f>SUMIFS(Ausg._Liste!$H$4:$H$550,Ausg._Liste!$F$4:$F$550,206,Ausg._Liste!$G$4:$G$550,3)</f>
        <v>0</v>
      </c>
      <c r="F9" s="4">
        <f>SUMIFS(Ausg._Liste!$H$4:$H$550,Ausg._Liste!$F$4:$F$550,206,Ausg._Liste!$G$4:$G$550,4)</f>
        <v>0</v>
      </c>
      <c r="G9" s="4">
        <f>SUMIFS(Ausg._Liste!$H$4:$H$550,Ausg._Liste!$F$4:$F$550,206,Ausg._Liste!$G$4:$G$550,5)</f>
        <v>0</v>
      </c>
      <c r="H9" s="4">
        <f>SUMIFS(Ausg._Liste!$H$4:$H$550,Ausg._Liste!$F$4:$F$550,206,Ausg._Liste!$G$4:$G$550,6)</f>
        <v>0</v>
      </c>
      <c r="I9" s="4">
        <f>SUMIFS(Ausg._Liste!$H$4:$H$550,Ausg._Liste!$F$4:$F$550,206,Ausg._Liste!$G$4:$G$550,7)</f>
        <v>0</v>
      </c>
      <c r="J9" s="4">
        <f>SUMIFS(Ausg._Liste!$H$4:$H$550,Ausg._Liste!$F$4:$F$550,206,Ausg._Liste!$G$4:$G$550,8)</f>
        <v>0</v>
      </c>
      <c r="K9" s="4">
        <f>SUMIFS(Ausg._Liste!$H$4:$H$550,Ausg._Liste!$F$4:$F$550,206,Ausg._Liste!$G$4:$G$550,9)</f>
        <v>0</v>
      </c>
      <c r="L9" s="4">
        <f>SUMIFS(Ausg._Liste!$H$4:$H$550,Ausg._Liste!$F$4:$F$550,206,Ausg._Liste!$G$4:$G$550,10)</f>
        <v>0</v>
      </c>
      <c r="M9" s="4">
        <f>SUMIFS(Ausg._Liste!$H$4:$H$550,Ausg._Liste!$F$4:$F$550,206,Ausg._Liste!$G$4:$G$550,11)</f>
        <v>0</v>
      </c>
      <c r="N9" s="4">
        <f>SUMIFS(Ausg._Liste!$H$4:$H$550,Ausg._Liste!$F$4:$F$550,206,Ausg._Liste!$G$4:$G$550,12)</f>
        <v>0</v>
      </c>
      <c r="O9" s="4">
        <f t="shared" si="2"/>
        <v>0</v>
      </c>
      <c r="P9" s="4"/>
    </row>
    <row r="10" spans="1:19" x14ac:dyDescent="0.25">
      <c r="A10" t="s">
        <v>350</v>
      </c>
      <c r="B10">
        <v>207</v>
      </c>
      <c r="C10" s="4">
        <f>SUMIFS(Ausg._Liste!$H$4:$H$550,Ausg._Liste!$F$4:$F$550,207,Ausg._Liste!$G$4:$G$550,1)</f>
        <v>0</v>
      </c>
      <c r="D10" s="4">
        <f>SUMIFS(Ausg._Liste!$H$4:$H$550,Ausg._Liste!$F$4:$F$550,207,Ausg._Liste!$G$4:$G$550,2)</f>
        <v>0</v>
      </c>
      <c r="E10" s="4">
        <f>SUMIFS(Ausg._Liste!$H$4:$H$550,Ausg._Liste!$F$4:$F$550,207,Ausg._Liste!$G$4:$G$550,3)</f>
        <v>0</v>
      </c>
      <c r="F10" s="4">
        <f>SUMIFS(Ausg._Liste!$H$4:$H$550,Ausg._Liste!$F$4:$F$550,207,Ausg._Liste!$G$4:$G$550,4)</f>
        <v>0</v>
      </c>
      <c r="G10" s="4">
        <f>SUMIFS(Ausg._Liste!$H$4:$H$550,Ausg._Liste!$F$4:$F$550,207,Ausg._Liste!$G$4:$G$550,5)</f>
        <v>0</v>
      </c>
      <c r="H10" s="4">
        <f>SUMIFS(Ausg._Liste!$H$4:$H$550,Ausg._Liste!$F$4:$F$550,207,Ausg._Liste!$G$4:$G$550,6)</f>
        <v>0</v>
      </c>
      <c r="I10" s="4">
        <f>SUMIFS(Ausg._Liste!$H$4:$H$550,Ausg._Liste!$F$4:$F$550,207,Ausg._Liste!$G$4:$G$550,7)</f>
        <v>0</v>
      </c>
      <c r="J10" s="4">
        <f>SUMIFS(Ausg._Liste!$H$4:$H$550,Ausg._Liste!$F$4:$F$550,207,Ausg._Liste!$G$4:$G$550,8)</f>
        <v>0</v>
      </c>
      <c r="K10" s="4">
        <f>SUMIFS(Ausg._Liste!$H$4:$H$550,Ausg._Liste!$F$4:$F$550,207,Ausg._Liste!$G$4:$G$550,9)</f>
        <v>0</v>
      </c>
      <c r="L10" s="4">
        <f>SUMIFS(Ausg._Liste!$H$4:$H$550,Ausg._Liste!$F$4:$F$550,207,Ausg._Liste!$G$4:$G$550,10)</f>
        <v>0</v>
      </c>
      <c r="M10" s="4">
        <f>SUMIFS(Ausg._Liste!$H$4:$H$550,Ausg._Liste!$F$4:$F$550,207,Ausg._Liste!$G$4:$G$550,11)</f>
        <v>0</v>
      </c>
      <c r="N10" s="4">
        <f>SUMIFS(Ausg._Liste!$H$4:$H$550,Ausg._Liste!$F$4:$F$550,207,Ausg._Liste!$G$4:$G$550,12)</f>
        <v>0</v>
      </c>
      <c r="O10" s="4">
        <f t="shared" si="2"/>
        <v>0</v>
      </c>
      <c r="P10" s="4"/>
    </row>
    <row r="11" spans="1:19" ht="18.75" x14ac:dyDescent="0.3">
      <c r="A11" s="24" t="s">
        <v>51</v>
      </c>
      <c r="B11" s="11">
        <v>700</v>
      </c>
      <c r="C11" s="9">
        <f>SUM(C12:C15)</f>
        <v>0</v>
      </c>
      <c r="D11" s="9">
        <f t="shared" ref="D11:N11" si="3">SUM(D12:D15)</f>
        <v>0</v>
      </c>
      <c r="E11" s="9">
        <f t="shared" si="3"/>
        <v>0</v>
      </c>
      <c r="F11" s="9">
        <f t="shared" si="3"/>
        <v>0</v>
      </c>
      <c r="G11" s="9">
        <f t="shared" si="3"/>
        <v>0</v>
      </c>
      <c r="H11" s="9">
        <f t="shared" si="3"/>
        <v>0</v>
      </c>
      <c r="I11" s="9">
        <f t="shared" si="3"/>
        <v>0</v>
      </c>
      <c r="J11" s="9">
        <f t="shared" si="3"/>
        <v>0</v>
      </c>
      <c r="K11" s="9">
        <f t="shared" si="3"/>
        <v>0</v>
      </c>
      <c r="L11" s="9">
        <f t="shared" si="3"/>
        <v>0</v>
      </c>
      <c r="M11" s="9">
        <f t="shared" si="3"/>
        <v>0</v>
      </c>
      <c r="N11" s="9">
        <f t="shared" si="3"/>
        <v>0</v>
      </c>
      <c r="O11" s="9">
        <f t="shared" si="2"/>
        <v>0</v>
      </c>
      <c r="P11" s="4"/>
    </row>
    <row r="12" spans="1:19" x14ac:dyDescent="0.25">
      <c r="A12" t="s">
        <v>52</v>
      </c>
      <c r="B12">
        <v>701</v>
      </c>
      <c r="C12" s="4">
        <f>SUMIFS(Ausg._Liste!$H$4:$H$550,Ausg._Liste!$F$4:$F$550,701,Ausg._Liste!$G$4:$G$550,1)</f>
        <v>0</v>
      </c>
      <c r="D12" s="4">
        <f>SUMIFS(Ausg._Liste!$H$4:$H$550,Ausg._Liste!$F$4:$F$550,701,Ausg._Liste!$G$4:$G$550,2)</f>
        <v>0</v>
      </c>
      <c r="E12" s="4">
        <f>SUMIFS(Ausg._Liste!$H$4:$H$550,Ausg._Liste!$F$4:$F$550,701,Ausg._Liste!$G$4:$G$550,3)</f>
        <v>0</v>
      </c>
      <c r="F12" s="4">
        <f>SUMIFS(Ausg._Liste!$H$4:$H$550,Ausg._Liste!$F$4:$F$550,701,Ausg._Liste!$G$4:$G$550,4)</f>
        <v>0</v>
      </c>
      <c r="G12" s="4">
        <f>SUMIFS(Ausg._Liste!$H$4:$H$550,Ausg._Liste!$F$4:$F$550,701,Ausg._Liste!$G$4:$G$550,5)</f>
        <v>0</v>
      </c>
      <c r="H12" s="4">
        <f>SUMIFS(Ausg._Liste!$H$4:$H$550,Ausg._Liste!$F$4:$F$550,701,Ausg._Liste!$G$4:$G$550,6)</f>
        <v>0</v>
      </c>
      <c r="I12" s="4">
        <f>SUMIFS(Ausg._Liste!$H$4:$H$550,Ausg._Liste!$F$4:$F$550,701,Ausg._Liste!$G$4:$G$550,7)</f>
        <v>0</v>
      </c>
      <c r="J12" s="4">
        <f>SUMIFS(Ausg._Liste!$H$4:$H$550,Ausg._Liste!$F$4:$F$550,701,Ausg._Liste!$G$4:$G$550,8)</f>
        <v>0</v>
      </c>
      <c r="K12" s="4">
        <f>SUMIFS(Ausg._Liste!$H$4:$H$550,Ausg._Liste!$F$4:$F$550,701,Ausg._Liste!$G$4:$G$550,9)</f>
        <v>0</v>
      </c>
      <c r="L12" s="4">
        <f>SUMIFS(Ausg._Liste!$H$4:$H$550,Ausg._Liste!$F$4:$F$550,701,Ausg._Liste!$G$4:$G$550,10)</f>
        <v>0</v>
      </c>
      <c r="M12" s="4">
        <f>SUMIFS(Ausg._Liste!$H$4:$H$550,Ausg._Liste!$F$4:$F$550,701,Ausg._Liste!$G$4:$G$550,11)</f>
        <v>0</v>
      </c>
      <c r="N12" s="4">
        <f>SUMIFS(Ausg._Liste!$H$4:$H$550,Ausg._Liste!$F$4:$F$550,701,Ausg._Liste!$G$4:$G$550,12)</f>
        <v>0</v>
      </c>
      <c r="O12" s="4">
        <f t="shared" si="2"/>
        <v>0</v>
      </c>
      <c r="P12" s="4"/>
    </row>
    <row r="13" spans="1:19" x14ac:dyDescent="0.25">
      <c r="A13" t="s">
        <v>53</v>
      </c>
      <c r="B13">
        <v>702</v>
      </c>
      <c r="C13" s="4">
        <f>SUMIFS(Ausg._Liste!$H$4:$H$550,Ausg._Liste!$F$4:$F$550,702,Ausg._Liste!$G$4:$G$550,1)</f>
        <v>0</v>
      </c>
      <c r="D13" s="4">
        <f>SUMIFS(Ausg._Liste!$H$4:$H$550,Ausg._Liste!$F$4:$F$550,702,Ausg._Liste!$G$4:$G$550,2)</f>
        <v>0</v>
      </c>
      <c r="E13" s="4">
        <f>SUMIFS(Ausg._Liste!$H$4:$H$550,Ausg._Liste!$F$4:$F$550,702,Ausg._Liste!$G$4:$G$550,3)</f>
        <v>0</v>
      </c>
      <c r="F13" s="4">
        <f>SUMIFS(Ausg._Liste!$H$4:$H$550,Ausg._Liste!$F$4:$F$550,702,Ausg._Liste!$G$4:$G$550,4)</f>
        <v>0</v>
      </c>
      <c r="G13" s="4">
        <f>SUMIFS(Ausg._Liste!$H$4:$H$550,Ausg._Liste!$F$4:$F$550,702,Ausg._Liste!$G$4:$G$550,5)</f>
        <v>0</v>
      </c>
      <c r="H13" s="4">
        <f>SUMIFS(Ausg._Liste!$H$4:$H$550,Ausg._Liste!$F$4:$F$550,702,Ausg._Liste!$G$4:$G$550,6)</f>
        <v>0</v>
      </c>
      <c r="I13" s="4">
        <f>SUMIFS(Ausg._Liste!$H$4:$H$550,Ausg._Liste!$F$4:$F$550,702,Ausg._Liste!$G$4:$G$550,7)</f>
        <v>0</v>
      </c>
      <c r="J13" s="4">
        <f>SUMIFS(Ausg._Liste!$H$4:$H$550,Ausg._Liste!$F$4:$F$550,702,Ausg._Liste!$G$4:$G$550,8)</f>
        <v>0</v>
      </c>
      <c r="K13" s="4">
        <f>SUMIFS(Ausg._Liste!$H$4:$H$550,Ausg._Liste!$F$4:$F$550,702,Ausg._Liste!$G$4:$G$550,9)</f>
        <v>0</v>
      </c>
      <c r="L13" s="4">
        <f>SUMIFS(Ausg._Liste!$H$4:$H$550,Ausg._Liste!$F$4:$F$550,702,Ausg._Liste!$G$4:$G$550,10)</f>
        <v>0</v>
      </c>
      <c r="M13" s="4">
        <f>SUMIFS(Ausg._Liste!$H$4:$H$550,Ausg._Liste!$F$4:$F$550,702,Ausg._Liste!$G$4:$G$550,11)</f>
        <v>0</v>
      </c>
      <c r="N13" s="4">
        <f>SUMIFS(Ausg._Liste!$H$4:$H$550,Ausg._Liste!$F$4:$F$550,702,Ausg._Liste!$G$4:$G$550,12)</f>
        <v>0</v>
      </c>
      <c r="O13" s="4">
        <f t="shared" si="2"/>
        <v>0</v>
      </c>
      <c r="P13" s="4"/>
    </row>
    <row r="14" spans="1:19" x14ac:dyDescent="0.25">
      <c r="A14" t="s">
        <v>54</v>
      </c>
      <c r="B14">
        <v>703</v>
      </c>
      <c r="C14" s="4">
        <f>SUMIFS(Ausg._Liste!$H$4:$H$550,Ausg._Liste!$F$4:$F$550,703,Ausg._Liste!$G$4:$G$550,1)</f>
        <v>0</v>
      </c>
      <c r="D14" s="4">
        <f>SUMIFS(Ausg._Liste!$H$4:$H$550,Ausg._Liste!$F$4:$F$550,703,Ausg._Liste!$G$4:$G$550,2)</f>
        <v>0</v>
      </c>
      <c r="E14" s="4">
        <f>SUMIFS(Ausg._Liste!$H$4:$H$550,Ausg._Liste!$F$4:$F$550,703,Ausg._Liste!$G$4:$G$550,3)</f>
        <v>0</v>
      </c>
      <c r="F14" s="4">
        <f>SUMIFS(Ausg._Liste!$H$4:$H$550,Ausg._Liste!$F$4:$F$550,703,Ausg._Liste!$G$4:$G$550,4)</f>
        <v>0</v>
      </c>
      <c r="G14" s="4">
        <f>SUMIFS(Ausg._Liste!$H$4:$H$550,Ausg._Liste!$F$4:$F$550,703,Ausg._Liste!$G$4:$G$550,5)</f>
        <v>0</v>
      </c>
      <c r="H14" s="4">
        <f>SUMIFS(Ausg._Liste!$H$4:$H$550,Ausg._Liste!$F$4:$F$550,703,Ausg._Liste!$G$4:$G$550,6)</f>
        <v>0</v>
      </c>
      <c r="I14" s="4">
        <f>SUMIFS(Ausg._Liste!$H$4:$H$550,Ausg._Liste!$F$4:$F$550,703,Ausg._Liste!$G$4:$G$550,7)</f>
        <v>0</v>
      </c>
      <c r="J14" s="4">
        <f>SUMIFS(Ausg._Liste!$H$4:$H$550,Ausg._Liste!$F$4:$F$550,703,Ausg._Liste!$G$4:$G$550,8)</f>
        <v>0</v>
      </c>
      <c r="K14" s="4">
        <f>SUMIFS(Ausg._Liste!$H$4:$H$550,Ausg._Liste!$F$4:$F$550,703,Ausg._Liste!$G$4:$G$550,9)</f>
        <v>0</v>
      </c>
      <c r="L14" s="4">
        <f>SUMIFS(Ausg._Liste!$H$4:$H$550,Ausg._Liste!$F$4:$F$550,703,Ausg._Liste!$G$4:$G$550,10)</f>
        <v>0</v>
      </c>
      <c r="M14" s="4">
        <f>SUMIFS(Ausg._Liste!$H$4:$H$550,Ausg._Liste!$F$4:$F$550,703,Ausg._Liste!$G$4:$G$550,11)</f>
        <v>0</v>
      </c>
      <c r="N14" s="4">
        <f>SUMIFS(Ausg._Liste!$H$4:$H$550,Ausg._Liste!$F$4:$F$550,703,Ausg._Liste!$G$4:$G$550,12)</f>
        <v>0</v>
      </c>
      <c r="O14" s="4">
        <f t="shared" si="2"/>
        <v>0</v>
      </c>
      <c r="P14" s="4"/>
    </row>
    <row r="15" spans="1:19" x14ac:dyDescent="0.25">
      <c r="A15" t="s">
        <v>55</v>
      </c>
      <c r="B15">
        <v>704</v>
      </c>
      <c r="C15" s="4">
        <f>SUMIFS(Ausg._Liste!$H$4:$H$550,Ausg._Liste!$F$4:$F$550,704,Ausg._Liste!$G$4:$G$550,1)</f>
        <v>0</v>
      </c>
      <c r="D15" s="4">
        <f>SUMIFS(Ausg._Liste!$H$4:$H$550,Ausg._Liste!$F$4:$F$550,704,Ausg._Liste!$G$4:$G$550,2)</f>
        <v>0</v>
      </c>
      <c r="E15" s="4">
        <f>SUMIFS(Ausg._Liste!$H$4:$H$550,Ausg._Liste!$F$4:$F$550,704,Ausg._Liste!$G$4:$G$550,3)</f>
        <v>0</v>
      </c>
      <c r="F15" s="4">
        <f>SUMIFS(Ausg._Liste!$H$4:$H$550,Ausg._Liste!$F$4:$F$550,704,Ausg._Liste!$G$4:$G$550,4)</f>
        <v>0</v>
      </c>
      <c r="G15" s="4">
        <f>SUMIFS(Ausg._Liste!$H$4:$H$550,Ausg._Liste!$F$4:$F$550,704,Ausg._Liste!$G$4:$G$550,5)</f>
        <v>0</v>
      </c>
      <c r="H15" s="4">
        <f>SUMIFS(Ausg._Liste!$H$4:$H$550,Ausg._Liste!$F$4:$F$550,704,Ausg._Liste!$G$4:$G$550,6)</f>
        <v>0</v>
      </c>
      <c r="I15" s="4">
        <f>SUMIFS(Ausg._Liste!$H$4:$H$550,Ausg._Liste!$F$4:$F$550,704,Ausg._Liste!$G$4:$G$550,7)</f>
        <v>0</v>
      </c>
      <c r="J15" s="4">
        <f>SUMIFS(Ausg._Liste!$H$4:$H$550,Ausg._Liste!$F$4:$F$550,704,Ausg._Liste!$G$4:$G$550,8)</f>
        <v>0</v>
      </c>
      <c r="K15" s="4">
        <f>SUMIFS(Ausg._Liste!$H$4:$H$550,Ausg._Liste!$F$4:$F$550,704,Ausg._Liste!$G$4:$G$550,9)</f>
        <v>0</v>
      </c>
      <c r="L15" s="4">
        <f>SUMIFS(Ausg._Liste!$H$4:$H$550,Ausg._Liste!$F$4:$F$550,704,Ausg._Liste!$G$4:$G$550,10)</f>
        <v>0</v>
      </c>
      <c r="M15" s="4">
        <f>SUMIFS(Ausg._Liste!$H$4:$H$550,Ausg._Liste!$F$4:$F$550,704,Ausg._Liste!$G$4:$G$550,11)</f>
        <v>0</v>
      </c>
      <c r="N15" s="4">
        <f>SUMIFS(Ausg._Liste!$H$4:$H$550,Ausg._Liste!$F$4:$F$550,704,Ausg._Liste!$G$4:$G$550,12)</f>
        <v>0</v>
      </c>
      <c r="O15" s="4">
        <f t="shared" si="2"/>
        <v>0</v>
      </c>
      <c r="P15" s="4"/>
    </row>
    <row r="16" spans="1:19" ht="18.75" x14ac:dyDescent="0.3">
      <c r="A16" s="24" t="s">
        <v>4</v>
      </c>
      <c r="B16" s="11">
        <v>800</v>
      </c>
      <c r="C16" s="9">
        <f>SUM(C17:C18)</f>
        <v>0</v>
      </c>
      <c r="D16" s="9">
        <f t="shared" ref="D16:N16" si="4">SUM(D17:D18)</f>
        <v>0</v>
      </c>
      <c r="E16" s="9">
        <f t="shared" si="4"/>
        <v>0</v>
      </c>
      <c r="F16" s="9">
        <f t="shared" si="4"/>
        <v>0</v>
      </c>
      <c r="G16" s="9">
        <f t="shared" si="4"/>
        <v>0</v>
      </c>
      <c r="H16" s="9">
        <f t="shared" si="4"/>
        <v>0</v>
      </c>
      <c r="I16" s="9">
        <f t="shared" si="4"/>
        <v>0</v>
      </c>
      <c r="J16" s="9">
        <f t="shared" si="4"/>
        <v>0</v>
      </c>
      <c r="K16" s="9">
        <f t="shared" si="4"/>
        <v>0</v>
      </c>
      <c r="L16" s="9">
        <f t="shared" si="4"/>
        <v>0</v>
      </c>
      <c r="M16" s="9">
        <f t="shared" si="4"/>
        <v>0</v>
      </c>
      <c r="N16" s="9">
        <f t="shared" si="4"/>
        <v>0</v>
      </c>
      <c r="O16" s="9">
        <f t="shared" si="2"/>
        <v>0</v>
      </c>
      <c r="P16" s="4"/>
    </row>
    <row r="17" spans="1:16" x14ac:dyDescent="0.25">
      <c r="A17" t="s">
        <v>56</v>
      </c>
      <c r="B17">
        <v>801</v>
      </c>
      <c r="C17" s="4">
        <f>SUMIFS(Ausg._Liste!$H$4:$H$550,Ausg._Liste!$F$4:$F$550,801,Ausg._Liste!$G$4:$G$550,1)</f>
        <v>0</v>
      </c>
      <c r="D17" s="4">
        <f>SUMIFS(Ausg._Liste!$H$4:$H$550,Ausg._Liste!$F$4:$F$550,801,Ausg._Liste!$G$4:$G$550,2)</f>
        <v>0</v>
      </c>
      <c r="E17" s="4">
        <f>SUMIFS(Ausg._Liste!$H$4:$H$550,Ausg._Liste!$F$4:$F$550,801,Ausg._Liste!$G$4:$G$550,3)</f>
        <v>0</v>
      </c>
      <c r="F17" s="4">
        <f>SUMIFS(Ausg._Liste!$H$4:$H$550,Ausg._Liste!$F$4:$F$550,801,Ausg._Liste!$G$4:$G$550,4)</f>
        <v>0</v>
      </c>
      <c r="G17" s="4">
        <f>SUMIFS(Ausg._Liste!$H$4:$H$550,Ausg._Liste!$F$4:$F$550,801,Ausg._Liste!$G$4:$G$550,5)</f>
        <v>0</v>
      </c>
      <c r="H17" s="4">
        <f>SUMIFS(Ausg._Liste!$H$4:$H$550,Ausg._Liste!$F$4:$F$550,801,Ausg._Liste!$G$4:$G$550,6)</f>
        <v>0</v>
      </c>
      <c r="I17" s="4">
        <f>SUMIFS(Ausg._Liste!$H$4:$H$550,Ausg._Liste!$F$4:$F$550,801,Ausg._Liste!$G$4:$G$550,7)</f>
        <v>0</v>
      </c>
      <c r="J17" s="4">
        <f>SUMIFS(Ausg._Liste!$H$4:$H$550,Ausg._Liste!$F$4:$F$550,801,Ausg._Liste!$G$4:$G$550,8)</f>
        <v>0</v>
      </c>
      <c r="K17" s="4">
        <f>SUMIFS(Ausg._Liste!$H$4:$H$550,Ausg._Liste!$F$4:$F$550,801,Ausg._Liste!$G$4:$G$550,9)</f>
        <v>0</v>
      </c>
      <c r="L17" s="4">
        <f>SUMIFS(Ausg._Liste!$H$4:$H$550,Ausg._Liste!$F$4:$F$550,801,Ausg._Liste!$G$4:$G$550,10)</f>
        <v>0</v>
      </c>
      <c r="M17" s="4">
        <f>SUMIFS(Ausg._Liste!$H$4:$H$550,Ausg._Liste!$F$4:$F$550,801,Ausg._Liste!$G$4:$G$550,11)</f>
        <v>0</v>
      </c>
      <c r="N17" s="4">
        <f>SUMIFS(Ausg._Liste!$H$4:$H$550,Ausg._Liste!$F$4:$F$550,801,Ausg._Liste!$G$4:$G$550,12)</f>
        <v>0</v>
      </c>
      <c r="O17" s="4">
        <f t="shared" si="2"/>
        <v>0</v>
      </c>
      <c r="P17" s="4"/>
    </row>
    <row r="18" spans="1:16" x14ac:dyDescent="0.25">
      <c r="A18" t="s">
        <v>57</v>
      </c>
      <c r="B18">
        <v>802</v>
      </c>
      <c r="C18" s="4">
        <f>SUMIFS(Ausg._Liste!$H$4:$H$550,Ausg._Liste!$F$4:$F$550,802,Ausg._Liste!$G$4:$G$550,1)</f>
        <v>0</v>
      </c>
      <c r="D18" s="4">
        <f>SUMIFS(Ausg._Liste!$H$4:$H$550,Ausg._Liste!$F$4:$F$550,802,Ausg._Liste!$G$4:$G$550,2)</f>
        <v>0</v>
      </c>
      <c r="E18" s="4">
        <f>SUMIFS(Ausg._Liste!$H$4:$H$550,Ausg._Liste!$F$4:$F$550,802,Ausg._Liste!$G$4:$G$550,3)</f>
        <v>0</v>
      </c>
      <c r="F18" s="4">
        <f>SUMIFS(Ausg._Liste!$H$4:$H$550,Ausg._Liste!$F$4:$F$550,802,Ausg._Liste!$G$4:$G$550,4)</f>
        <v>0</v>
      </c>
      <c r="G18" s="4">
        <f>SUMIFS(Ausg._Liste!$H$4:$H$550,Ausg._Liste!$F$4:$F$550,802,Ausg._Liste!$G$4:$G$550,5)</f>
        <v>0</v>
      </c>
      <c r="H18" s="4">
        <f>SUMIFS(Ausg._Liste!$H$4:$H$550,Ausg._Liste!$F$4:$F$550,802,Ausg._Liste!$G$4:$G$550,6)</f>
        <v>0</v>
      </c>
      <c r="I18" s="4">
        <f>SUMIFS(Ausg._Liste!$H$4:$H$550,Ausg._Liste!$F$4:$F$550,802,Ausg._Liste!$G$4:$G$550,7)</f>
        <v>0</v>
      </c>
      <c r="J18" s="4">
        <f>SUMIFS(Ausg._Liste!$H$4:$H$550,Ausg._Liste!$F$4:$F$550,802,Ausg._Liste!$G$4:$G$550,8)</f>
        <v>0</v>
      </c>
      <c r="K18" s="4">
        <f>SUMIFS(Ausg._Liste!$H$4:$H$550,Ausg._Liste!$F$4:$F$550,802,Ausg._Liste!$G$4:$G$550,9)</f>
        <v>0</v>
      </c>
      <c r="L18" s="4">
        <f>SUMIFS(Ausg._Liste!$H$4:$H$550,Ausg._Liste!$F$4:$F$550,802,Ausg._Liste!$G$4:$G$550,10)</f>
        <v>0</v>
      </c>
      <c r="M18" s="4">
        <f>SUMIFS(Ausg._Liste!$H$4:$H$550,Ausg._Liste!$F$4:$F$550,802,Ausg._Liste!$G$4:$G$550,11)</f>
        <v>0</v>
      </c>
      <c r="N18" s="4">
        <f>SUMIFS(Ausg._Liste!$H$4:$H$550,Ausg._Liste!$F$4:$F$550,802,Ausg._Liste!$G$4:$G$550,12)</f>
        <v>0</v>
      </c>
      <c r="O18" s="4">
        <f t="shared" si="2"/>
        <v>0</v>
      </c>
      <c r="P18" s="4"/>
    </row>
    <row r="19" spans="1:16" ht="18.75" x14ac:dyDescent="0.3">
      <c r="A19" s="24" t="s">
        <v>58</v>
      </c>
      <c r="B19" s="11">
        <v>900</v>
      </c>
      <c r="C19" s="9">
        <f>SUM(C20:C23)</f>
        <v>0</v>
      </c>
      <c r="D19" s="9">
        <f t="shared" ref="D19:N19" si="5">SUM(D20:D23)</f>
        <v>0</v>
      </c>
      <c r="E19" s="9">
        <f t="shared" si="5"/>
        <v>0</v>
      </c>
      <c r="F19" s="9">
        <f t="shared" si="5"/>
        <v>0</v>
      </c>
      <c r="G19" s="9">
        <f t="shared" si="5"/>
        <v>0</v>
      </c>
      <c r="H19" s="9">
        <f t="shared" si="5"/>
        <v>0</v>
      </c>
      <c r="I19" s="9">
        <f t="shared" si="5"/>
        <v>0</v>
      </c>
      <c r="J19" s="9">
        <f t="shared" si="5"/>
        <v>0</v>
      </c>
      <c r="K19" s="9">
        <f t="shared" si="5"/>
        <v>0</v>
      </c>
      <c r="L19" s="9">
        <f t="shared" si="5"/>
        <v>0</v>
      </c>
      <c r="M19" s="9">
        <f t="shared" si="5"/>
        <v>0</v>
      </c>
      <c r="N19" s="9">
        <f t="shared" si="5"/>
        <v>0</v>
      </c>
      <c r="O19" s="9">
        <f t="shared" si="2"/>
        <v>0</v>
      </c>
      <c r="P19" s="4"/>
    </row>
    <row r="20" spans="1:16" x14ac:dyDescent="0.25">
      <c r="A20" t="s">
        <v>59</v>
      </c>
      <c r="B20">
        <v>901</v>
      </c>
      <c r="C20" s="4">
        <f>SUMIFS(Ausg._Liste!$H$4:$H$550,Ausg._Liste!$F$4:$F$550,901,Ausg._Liste!$G$4:$G$550,1)</f>
        <v>0</v>
      </c>
      <c r="D20" s="4">
        <f>SUMIFS(Ausg._Liste!$H$4:$H$550,Ausg._Liste!$F$4:$F$550,901,Ausg._Liste!$G$4:$G$550,2)</f>
        <v>0</v>
      </c>
      <c r="E20" s="4">
        <f>SUMIFS(Ausg._Liste!$H$4:$H$550,Ausg._Liste!$F$4:$F$550,901,Ausg._Liste!$G$4:$G$550,3)</f>
        <v>0</v>
      </c>
      <c r="F20" s="4">
        <f>SUMIFS(Ausg._Liste!$H$4:$H$550,Ausg._Liste!$F$4:$F$550,901,Ausg._Liste!$G$4:$G$550,4)</f>
        <v>0</v>
      </c>
      <c r="G20" s="4">
        <f>SUMIFS(Ausg._Liste!$H$4:$H$550,Ausg._Liste!$F$4:$F$550,901,Ausg._Liste!$G$4:$G$550,5)</f>
        <v>0</v>
      </c>
      <c r="H20" s="4">
        <f>SUMIFS(Ausg._Liste!$H$4:$H$550,Ausg._Liste!$F$4:$F$550,901,Ausg._Liste!$G$4:$G$550,6)</f>
        <v>0</v>
      </c>
      <c r="I20" s="4">
        <f>SUMIFS(Ausg._Liste!$H$4:$H$550,Ausg._Liste!$F$4:$F$550,901,Ausg._Liste!$G$4:$G$550,7)</f>
        <v>0</v>
      </c>
      <c r="J20" s="4">
        <f>SUMIFS(Ausg._Liste!$H$4:$H$550,Ausg._Liste!$F$4:$F$550,901,Ausg._Liste!$G$4:$G$550,8)</f>
        <v>0</v>
      </c>
      <c r="K20" s="4">
        <f>SUMIFS(Ausg._Liste!$H$4:$H$550,Ausg._Liste!$F$4:$F$550,901,Ausg._Liste!$G$4:$G$550,9)</f>
        <v>0</v>
      </c>
      <c r="L20" s="4">
        <f>SUMIFS(Ausg._Liste!$H$4:$H$550,Ausg._Liste!$F$4:$F$550,901,Ausg._Liste!$G$4:$G$550,10)</f>
        <v>0</v>
      </c>
      <c r="M20" s="4">
        <f>SUMIFS(Ausg._Liste!$H$4:$H$550,Ausg._Liste!$F$4:$F$550,901,Ausg._Liste!$G$4:$G$550,11)</f>
        <v>0</v>
      </c>
      <c r="N20" s="4">
        <f>SUMIFS(Ausg._Liste!$H$4:$H$550,Ausg._Liste!$F$4:$F$550,901,Ausg._Liste!$G$4:$G$550,12)</f>
        <v>0</v>
      </c>
      <c r="O20" s="4">
        <f t="shared" si="2"/>
        <v>0</v>
      </c>
      <c r="P20" s="4"/>
    </row>
    <row r="21" spans="1:16" x14ac:dyDescent="0.25">
      <c r="A21" t="s">
        <v>60</v>
      </c>
      <c r="B21">
        <v>902</v>
      </c>
      <c r="C21" s="4">
        <f>SUMIFS(Ausg._Liste!$H$4:$H$550,Ausg._Liste!$F$4:$F$550,902,Ausg._Liste!$G$4:$G$550,1)</f>
        <v>0</v>
      </c>
      <c r="D21" s="4">
        <f>SUMIFS(Ausg._Liste!$H$4:$H$550,Ausg._Liste!$F$4:$F$550,902,Ausg._Liste!$G$4:$G$550,2)</f>
        <v>0</v>
      </c>
      <c r="E21" s="4">
        <f>SUMIFS(Ausg._Liste!$H$4:$H$550,Ausg._Liste!$F$4:$F$550,902,Ausg._Liste!$G$4:$G$550,3)</f>
        <v>0</v>
      </c>
      <c r="F21" s="4">
        <f>SUMIFS(Ausg._Liste!$H$4:$H$550,Ausg._Liste!$F$4:$F$550,902,Ausg._Liste!$G$4:$G$550,4)</f>
        <v>0</v>
      </c>
      <c r="G21" s="4">
        <f>SUMIFS(Ausg._Liste!$H$4:$H$550,Ausg._Liste!$F$4:$F$550,902,Ausg._Liste!$G$4:$G$550,5)</f>
        <v>0</v>
      </c>
      <c r="H21" s="4">
        <f>SUMIFS(Ausg._Liste!$H$4:$H$550,Ausg._Liste!$F$4:$F$550,902,Ausg._Liste!$G$4:$G$550,6)</f>
        <v>0</v>
      </c>
      <c r="I21" s="4">
        <f>SUMIFS(Ausg._Liste!$H$4:$H$550,Ausg._Liste!$F$4:$F$550,902,Ausg._Liste!$G$4:$G$550,7)</f>
        <v>0</v>
      </c>
      <c r="J21" s="4">
        <f>SUMIFS(Ausg._Liste!$H$4:$H$550,Ausg._Liste!$F$4:$F$550,902,Ausg._Liste!$G$4:$G$550,8)</f>
        <v>0</v>
      </c>
      <c r="K21" s="4">
        <f>SUMIFS(Ausg._Liste!$H$4:$H$550,Ausg._Liste!$F$4:$F$550,902,Ausg._Liste!$G$4:$G$550,9)</f>
        <v>0</v>
      </c>
      <c r="L21" s="4">
        <f>SUMIFS(Ausg._Liste!$H$4:$H$550,Ausg._Liste!$F$4:$F$550,902,Ausg._Liste!$G$4:$G$550,10)</f>
        <v>0</v>
      </c>
      <c r="M21" s="4">
        <f>SUMIFS(Ausg._Liste!$H$4:$H$550,Ausg._Liste!$F$4:$F$550,902,Ausg._Liste!$G$4:$G$550,11)</f>
        <v>0</v>
      </c>
      <c r="N21" s="4">
        <f>SUMIFS(Ausg._Liste!$H$4:$H$550,Ausg._Liste!$F$4:$F$550,902,Ausg._Liste!$G$4:$G$550,12)</f>
        <v>0</v>
      </c>
      <c r="O21" s="4">
        <f t="shared" si="2"/>
        <v>0</v>
      </c>
      <c r="P21" s="4"/>
    </row>
    <row r="22" spans="1:16" x14ac:dyDescent="0.25">
      <c r="A22" t="s">
        <v>74</v>
      </c>
      <c r="B22">
        <v>903</v>
      </c>
      <c r="C22" s="4">
        <f>SUMIFS(Ausg._Liste!$H$4:$H$550,Ausg._Liste!$F$4:$F$550,903,Ausg._Liste!$G$4:$G$550,1)</f>
        <v>0</v>
      </c>
      <c r="D22" s="4">
        <f>SUMIFS(Ausg._Liste!$H$4:$H$550,Ausg._Liste!$F$4:$F$550,903,Ausg._Liste!$G$4:$G$550,2)</f>
        <v>0</v>
      </c>
      <c r="E22" s="4">
        <f>SUMIFS(Ausg._Liste!$H$4:$H$550,Ausg._Liste!$F$4:$F$550,903,Ausg._Liste!$G$4:$G$550,3)</f>
        <v>0</v>
      </c>
      <c r="F22" s="4">
        <f>SUMIFS(Ausg._Liste!$H$4:$H$550,Ausg._Liste!$F$4:$F$550,903,Ausg._Liste!$G$4:$G$550,4)</f>
        <v>0</v>
      </c>
      <c r="G22" s="4">
        <f>SUMIFS(Ausg._Liste!$H$4:$H$550,Ausg._Liste!$F$4:$F$550,903,Ausg._Liste!$G$4:$G$550,5)</f>
        <v>0</v>
      </c>
      <c r="H22" s="4">
        <f>SUMIFS(Ausg._Liste!$H$4:$H$550,Ausg._Liste!$F$4:$F$550,903,Ausg._Liste!$G$4:$G$550,6)</f>
        <v>0</v>
      </c>
      <c r="I22" s="4">
        <f>SUMIFS(Ausg._Liste!$H$4:$H$550,Ausg._Liste!$F$4:$F$550,903,Ausg._Liste!$G$4:$G$550,7)</f>
        <v>0</v>
      </c>
      <c r="J22" s="4">
        <f>SUMIFS(Ausg._Liste!$H$4:$H$550,Ausg._Liste!$F$4:$F$550,903,Ausg._Liste!$G$4:$G$550,8)</f>
        <v>0</v>
      </c>
      <c r="K22" s="4">
        <f>SUMIFS(Ausg._Liste!$H$4:$H$550,Ausg._Liste!$F$4:$F$550,903,Ausg._Liste!$G$4:$G$550,9)</f>
        <v>0</v>
      </c>
      <c r="L22" s="4">
        <f>SUMIFS(Ausg._Liste!$H$4:$H$550,Ausg._Liste!$F$4:$F$550,903,Ausg._Liste!$G$4:$G$550,10)</f>
        <v>0</v>
      </c>
      <c r="M22" s="4">
        <f>SUMIFS(Ausg._Liste!$H$4:$H$550,Ausg._Liste!$F$4:$F$550,903,Ausg._Liste!$G$4:$G$550,11)</f>
        <v>0</v>
      </c>
      <c r="N22" s="4">
        <f>SUMIFS(Ausg._Liste!$H$4:$H$550,Ausg._Liste!$F$4:$F$550,903,Ausg._Liste!$G$4:$G$550,12)</f>
        <v>0</v>
      </c>
      <c r="O22" s="4">
        <f t="shared" si="2"/>
        <v>0</v>
      </c>
      <c r="P22" s="4"/>
    </row>
    <row r="23" spans="1:16" x14ac:dyDescent="0.25">
      <c r="A23" t="s">
        <v>61</v>
      </c>
      <c r="B23">
        <v>904</v>
      </c>
      <c r="C23" s="4">
        <f>SUMIFS(Ausg._Liste!$H$4:$H$550,Ausg._Liste!$F$4:$F$550,904,Ausg._Liste!$G$4:$G$550,1)</f>
        <v>0</v>
      </c>
      <c r="D23" s="4">
        <f>SUMIFS(Ausg._Liste!$H$4:$H$550,Ausg._Liste!$F$4:$F$550,904,Ausg._Liste!$G$4:$G$550,2)</f>
        <v>0</v>
      </c>
      <c r="E23" s="4">
        <f>SUMIFS(Ausg._Liste!$H$4:$H$550,Ausg._Liste!$F$4:$F$550,904,Ausg._Liste!$G$4:$G$550,3)</f>
        <v>0</v>
      </c>
      <c r="F23" s="4">
        <f>SUMIFS(Ausg._Liste!$H$4:$H$550,Ausg._Liste!$F$4:$F$550,904,Ausg._Liste!$G$4:$G$550,4)</f>
        <v>0</v>
      </c>
      <c r="G23" s="4">
        <f>SUMIFS(Ausg._Liste!$H$4:$H$550,Ausg._Liste!$F$4:$F$550,904,Ausg._Liste!$G$4:$G$550,5)</f>
        <v>0</v>
      </c>
      <c r="H23" s="4">
        <f>SUMIFS(Ausg._Liste!$H$4:$H$550,Ausg._Liste!$F$4:$F$550,904,Ausg._Liste!$G$4:$G$550,6)</f>
        <v>0</v>
      </c>
      <c r="I23" s="4">
        <f>SUMIFS(Ausg._Liste!$H$4:$H$550,Ausg._Liste!$F$4:$F$550,904,Ausg._Liste!$G$4:$G$550,7)</f>
        <v>0</v>
      </c>
      <c r="J23" s="4">
        <f>SUMIFS(Ausg._Liste!$H$4:$H$550,Ausg._Liste!$F$4:$F$550,904,Ausg._Liste!$G$4:$G$550,8)</f>
        <v>0</v>
      </c>
      <c r="K23" s="4">
        <f>SUMIFS(Ausg._Liste!$H$4:$H$550,Ausg._Liste!$F$4:$F$550,904,Ausg._Liste!$G$4:$G$550,9)</f>
        <v>0</v>
      </c>
      <c r="L23" s="4">
        <f>SUMIFS(Ausg._Liste!$H$4:$H$550,Ausg._Liste!$F$4:$F$550,904,Ausg._Liste!$G$4:$G$550,10)</f>
        <v>0</v>
      </c>
      <c r="M23" s="4">
        <f>SUMIFS(Ausg._Liste!$H$4:$H$550,Ausg._Liste!$F$4:$F$550,904,Ausg._Liste!$G$4:$G$550,11)</f>
        <v>0</v>
      </c>
      <c r="N23" s="4">
        <f>SUMIFS(Ausg._Liste!$H$4:$H$550,Ausg._Liste!$F$4:$F$550,904,Ausg._Liste!$G$4:$G$550,12)</f>
        <v>0</v>
      </c>
      <c r="O23" s="4">
        <f t="shared" si="2"/>
        <v>0</v>
      </c>
      <c r="P23" s="4"/>
    </row>
    <row r="24" spans="1:16" ht="18.75" x14ac:dyDescent="0.3">
      <c r="A24" s="24" t="s">
        <v>62</v>
      </c>
      <c r="B24" s="11">
        <v>1000</v>
      </c>
      <c r="C24" s="9">
        <f>SUM(C25:C26)</f>
        <v>0</v>
      </c>
      <c r="D24" s="9">
        <f t="shared" ref="D24:N24" si="6">SUM(D25:D26)</f>
        <v>0</v>
      </c>
      <c r="E24" s="9">
        <f t="shared" si="6"/>
        <v>0</v>
      </c>
      <c r="F24" s="9">
        <f t="shared" si="6"/>
        <v>0</v>
      </c>
      <c r="G24" s="9">
        <f t="shared" si="6"/>
        <v>0</v>
      </c>
      <c r="H24" s="9">
        <f t="shared" si="6"/>
        <v>0</v>
      </c>
      <c r="I24" s="9">
        <f t="shared" si="6"/>
        <v>0</v>
      </c>
      <c r="J24" s="9">
        <f t="shared" si="6"/>
        <v>0</v>
      </c>
      <c r="K24" s="9">
        <f t="shared" si="6"/>
        <v>0</v>
      </c>
      <c r="L24" s="9">
        <f t="shared" si="6"/>
        <v>0</v>
      </c>
      <c r="M24" s="9">
        <f t="shared" si="6"/>
        <v>0</v>
      </c>
      <c r="N24" s="9">
        <f t="shared" si="6"/>
        <v>0</v>
      </c>
      <c r="O24" s="9">
        <f t="shared" si="2"/>
        <v>0</v>
      </c>
      <c r="P24" s="4"/>
    </row>
    <row r="25" spans="1:16" x14ac:dyDescent="0.25">
      <c r="A25" t="s">
        <v>63</v>
      </c>
      <c r="B25">
        <v>1001</v>
      </c>
      <c r="C25" s="4">
        <f>SUMIFS(Ausg._Liste!$H$4:$H$550,Ausg._Liste!$F$4:$F$550,1001,Ausg._Liste!$G$4:$G$550,1)</f>
        <v>0</v>
      </c>
      <c r="D25" s="4">
        <f>SUMIFS(Ausg._Liste!$H$4:$H$550,Ausg._Liste!$F$4:$F$550,1001,Ausg._Liste!$G$4:$G$550,2)</f>
        <v>0</v>
      </c>
      <c r="E25" s="4">
        <f>SUMIFS(Ausg._Liste!$H$4:$H$550,Ausg._Liste!$F$4:$F$550,1001,Ausg._Liste!$G$4:$G$550,3)</f>
        <v>0</v>
      </c>
      <c r="F25" s="4">
        <f>SUMIFS(Ausg._Liste!$H$4:$H$550,Ausg._Liste!$F$4:$F$550,1001,Ausg._Liste!$G$4:$G$550,4)</f>
        <v>0</v>
      </c>
      <c r="G25" s="4">
        <f>SUMIFS(Ausg._Liste!$H$4:$H$550,Ausg._Liste!$F$4:$F$550,1001,Ausg._Liste!$G$4:$G$550,5)</f>
        <v>0</v>
      </c>
      <c r="H25" s="4">
        <f>SUMIFS(Ausg._Liste!$H$4:$H$550,Ausg._Liste!$F$4:$F$550,1001,Ausg._Liste!$G$4:$G$550,6)</f>
        <v>0</v>
      </c>
      <c r="I25" s="4">
        <f>SUMIFS(Ausg._Liste!$H$4:$H$550,Ausg._Liste!$F$4:$F$550,1001,Ausg._Liste!$G$4:$G$550,7)</f>
        <v>0</v>
      </c>
      <c r="J25" s="4">
        <f>SUMIFS(Ausg._Liste!$H$4:$H$550,Ausg._Liste!$F$4:$F$550,1001,Ausg._Liste!$G$4:$G$550,8)</f>
        <v>0</v>
      </c>
      <c r="K25" s="4">
        <f>SUMIFS(Ausg._Liste!$H$4:$H$550,Ausg._Liste!$F$4:$F$550,1001,Ausg._Liste!$G$4:$G$550,9)</f>
        <v>0</v>
      </c>
      <c r="L25" s="4">
        <f>SUMIFS(Ausg._Liste!$H$4:$H$550,Ausg._Liste!$F$4:$F$550,1001,Ausg._Liste!$G$4:$G$550,10)</f>
        <v>0</v>
      </c>
      <c r="M25" s="4">
        <f>SUMIFS(Ausg._Liste!$H$4:$H$550,Ausg._Liste!$F$4:$F$550,1001,Ausg._Liste!$G$4:$G$550,11)</f>
        <v>0</v>
      </c>
      <c r="N25" s="4">
        <f>SUMIFS(Ausg._Liste!$H$4:$H$550,Ausg._Liste!$F$4:$F$550,1001,Ausg._Liste!$G$4:$G$550,12)</f>
        <v>0</v>
      </c>
      <c r="O25" s="4">
        <f t="shared" si="2"/>
        <v>0</v>
      </c>
      <c r="P25" s="4"/>
    </row>
    <row r="26" spans="1:16" x14ac:dyDescent="0.25">
      <c r="A26" t="s">
        <v>64</v>
      </c>
      <c r="B26">
        <v>1002</v>
      </c>
      <c r="C26" s="4">
        <f>SUMIFS(Ausg._Liste!$H$4:$H$550,Ausg._Liste!$F$4:$F$550,1002,Ausg._Liste!$G$4:$G$550,1)</f>
        <v>0</v>
      </c>
      <c r="D26" s="4">
        <f>SUMIFS(Ausg._Liste!$H$4:$H$550,Ausg._Liste!$F$4:$F$550,1002,Ausg._Liste!$G$4:$G$550,2)</f>
        <v>0</v>
      </c>
      <c r="E26" s="4">
        <f>SUMIFS(Ausg._Liste!$H$4:$H$550,Ausg._Liste!$F$4:$F$550,1002,Ausg._Liste!$G$4:$G$550,3)</f>
        <v>0</v>
      </c>
      <c r="F26" s="4">
        <f>SUMIFS(Ausg._Liste!$H$4:$H$550,Ausg._Liste!$F$4:$F$550,1002,Ausg._Liste!$G$4:$G$550,4)</f>
        <v>0</v>
      </c>
      <c r="G26" s="4">
        <f>SUMIFS(Ausg._Liste!$H$4:$H$550,Ausg._Liste!$F$4:$F$550,1002,Ausg._Liste!$G$4:$G$550,5)</f>
        <v>0</v>
      </c>
      <c r="H26" s="4">
        <f>SUMIFS(Ausg._Liste!$H$4:$H$550,Ausg._Liste!$F$4:$F$550,1002,Ausg._Liste!$G$4:$G$550,6)</f>
        <v>0</v>
      </c>
      <c r="I26" s="4">
        <f>SUMIFS(Ausg._Liste!$H$4:$H$550,Ausg._Liste!$F$4:$F$550,1002,Ausg._Liste!$G$4:$G$550,7)</f>
        <v>0</v>
      </c>
      <c r="J26" s="4">
        <f>SUMIFS(Ausg._Liste!$H$4:$H$550,Ausg._Liste!$F$4:$F$550,1002,Ausg._Liste!$G$4:$G$550,8)</f>
        <v>0</v>
      </c>
      <c r="K26" s="4">
        <f>SUMIFS(Ausg._Liste!$H$4:$H$550,Ausg._Liste!$F$4:$F$550,1002,Ausg._Liste!$G$4:$G$550,9)</f>
        <v>0</v>
      </c>
      <c r="L26" s="4">
        <f>SUMIFS(Ausg._Liste!$H$4:$H$550,Ausg._Liste!$F$4:$F$550,1002,Ausg._Liste!$G$4:$G$550,10)</f>
        <v>0</v>
      </c>
      <c r="M26" s="4">
        <f>SUMIFS(Ausg._Liste!$H$4:$H$550,Ausg._Liste!$F$4:$F$550,1002,Ausg._Liste!$G$4:$G$550,11)</f>
        <v>0</v>
      </c>
      <c r="N26" s="4">
        <f>SUMIFS(Ausg._Liste!$H$4:$H$550,Ausg._Liste!$F$4:$F$550,1002,Ausg._Liste!$G$4:$G$550,12)</f>
        <v>0</v>
      </c>
      <c r="O26" s="4">
        <f t="shared" si="2"/>
        <v>0</v>
      </c>
      <c r="P26" s="4"/>
    </row>
    <row r="27" spans="1:16" ht="18.75" x14ac:dyDescent="0.3">
      <c r="A27" s="24" t="s">
        <v>66</v>
      </c>
      <c r="B27" s="11">
        <v>1100</v>
      </c>
      <c r="C27" s="9">
        <f>SUM(C28:C29)</f>
        <v>0</v>
      </c>
      <c r="D27" s="9">
        <f t="shared" ref="D27:N27" si="7">SUM(D28:D29)</f>
        <v>0</v>
      </c>
      <c r="E27" s="9">
        <f t="shared" si="7"/>
        <v>0</v>
      </c>
      <c r="F27" s="9">
        <f t="shared" si="7"/>
        <v>0</v>
      </c>
      <c r="G27" s="9">
        <f t="shared" si="7"/>
        <v>0</v>
      </c>
      <c r="H27" s="9">
        <f t="shared" si="7"/>
        <v>0</v>
      </c>
      <c r="I27" s="9">
        <f t="shared" si="7"/>
        <v>0</v>
      </c>
      <c r="J27" s="9">
        <f t="shared" si="7"/>
        <v>0</v>
      </c>
      <c r="K27" s="9">
        <f t="shared" si="7"/>
        <v>0</v>
      </c>
      <c r="L27" s="9">
        <f t="shared" si="7"/>
        <v>0</v>
      </c>
      <c r="M27" s="9">
        <f t="shared" si="7"/>
        <v>0</v>
      </c>
      <c r="N27" s="9">
        <f t="shared" si="7"/>
        <v>0</v>
      </c>
      <c r="O27" s="9">
        <f t="shared" si="2"/>
        <v>0</v>
      </c>
      <c r="P27" s="4"/>
    </row>
    <row r="28" spans="1:16" x14ac:dyDescent="0.25">
      <c r="A28" t="s">
        <v>67</v>
      </c>
      <c r="B28">
        <v>1101</v>
      </c>
      <c r="C28" s="4">
        <f>SUMIFS(Ausg._Liste!$H$4:$H$550,Ausg._Liste!$F$4:$F$550,1101,Ausg._Liste!$G$4:$G$550,1)</f>
        <v>0</v>
      </c>
      <c r="D28" s="4">
        <f>SUMIFS(Ausg._Liste!$H$4:$H$550,Ausg._Liste!$F$4:$F$550,1101,Ausg._Liste!$G$4:$G$550,2)</f>
        <v>0</v>
      </c>
      <c r="E28" s="4">
        <f>SUMIFS(Ausg._Liste!$H$4:$H$550,Ausg._Liste!$F$4:$F$550,1101,Ausg._Liste!$G$4:$G$550,3)</f>
        <v>0</v>
      </c>
      <c r="F28" s="4">
        <f>SUMIFS(Ausg._Liste!$H$4:$H$550,Ausg._Liste!$F$4:$F$550,1101,Ausg._Liste!$G$4:$G$550,4)</f>
        <v>0</v>
      </c>
      <c r="G28" s="4">
        <f>SUMIFS(Ausg._Liste!$H$4:$H$550,Ausg._Liste!$F$4:$F$550,1101,Ausg._Liste!$G$4:$G$550,5)</f>
        <v>0</v>
      </c>
      <c r="H28" s="4">
        <f>SUMIFS(Ausg._Liste!$H$4:$H$550,Ausg._Liste!$F$4:$F$550,1101,Ausg._Liste!$G$4:$G$550,6)</f>
        <v>0</v>
      </c>
      <c r="I28" s="4">
        <f>SUMIFS(Ausg._Liste!$H$4:$H$550,Ausg._Liste!$F$4:$F$550,1101,Ausg._Liste!$G$4:$G$550,7)</f>
        <v>0</v>
      </c>
      <c r="J28" s="4">
        <f>SUMIFS(Ausg._Liste!$H$4:$H$550,Ausg._Liste!$F$4:$F$550,1101,Ausg._Liste!$G$4:$G$550,8)</f>
        <v>0</v>
      </c>
      <c r="K28" s="4">
        <f>SUMIFS(Ausg._Liste!$H$4:$H$550,Ausg._Liste!$F$4:$F$550,1101,Ausg._Liste!$G$4:$G$550,9)</f>
        <v>0</v>
      </c>
      <c r="L28" s="4">
        <f>SUMIFS(Ausg._Liste!$H$4:$H$550,Ausg._Liste!$F$4:$F$550,1101,Ausg._Liste!$G$4:$G$550,10)</f>
        <v>0</v>
      </c>
      <c r="M28" s="4">
        <f>SUMIFS(Ausg._Liste!$H$4:$H$550,Ausg._Liste!$F$4:$F$550,1101,Ausg._Liste!$G$4:$G$550,11)</f>
        <v>0</v>
      </c>
      <c r="N28" s="4">
        <f>SUMIFS(Ausg._Liste!$H$4:$H$550,Ausg._Liste!$F$4:$F$550,1101,Ausg._Liste!$G$4:$G$550,12)</f>
        <v>0</v>
      </c>
      <c r="O28" s="4">
        <f t="shared" si="2"/>
        <v>0</v>
      </c>
      <c r="P28" s="4"/>
    </row>
    <row r="29" spans="1:16" x14ac:dyDescent="0.25">
      <c r="A29" t="s">
        <v>29</v>
      </c>
      <c r="B29">
        <v>1102</v>
      </c>
      <c r="C29" s="4">
        <f>SUMIFS(Ausg._Liste!$H$4:$H$550,Ausg._Liste!$F$4:$F$550,1102,Ausg._Liste!$G$4:$G$550,1)</f>
        <v>0</v>
      </c>
      <c r="D29" s="4">
        <f>SUMIFS(Ausg._Liste!$H$4:$H$550,Ausg._Liste!$F$4:$F$550,1102,Ausg._Liste!$G$4:$G$550,2)</f>
        <v>0</v>
      </c>
      <c r="E29" s="4">
        <f>SUMIFS(Ausg._Liste!$H$4:$H$550,Ausg._Liste!$F$4:$F$550,1102,Ausg._Liste!$G$4:$G$550,3)</f>
        <v>0</v>
      </c>
      <c r="F29" s="4">
        <f>SUMIFS(Ausg._Liste!$H$4:$H$550,Ausg._Liste!$F$4:$F$550,1102,Ausg._Liste!$G$4:$G$550,4)</f>
        <v>0</v>
      </c>
      <c r="G29" s="4">
        <f>SUMIFS(Ausg._Liste!$H$4:$H$550,Ausg._Liste!$F$4:$F$550,1102,Ausg._Liste!$G$4:$G$550,5)</f>
        <v>0</v>
      </c>
      <c r="H29" s="4">
        <f>SUMIFS(Ausg._Liste!$H$4:$H$550,Ausg._Liste!$F$4:$F$550,1102,Ausg._Liste!$G$4:$G$550,6)</f>
        <v>0</v>
      </c>
      <c r="I29" s="4">
        <f>SUMIFS(Ausg._Liste!$H$4:$H$550,Ausg._Liste!$F$4:$F$550,1102,Ausg._Liste!$G$4:$G$550,7)</f>
        <v>0</v>
      </c>
      <c r="J29" s="4">
        <f>SUMIFS(Ausg._Liste!$H$4:$H$550,Ausg._Liste!$F$4:$F$550,1102,Ausg._Liste!$G$4:$G$550,8)</f>
        <v>0</v>
      </c>
      <c r="K29" s="4">
        <f>SUMIFS(Ausg._Liste!$H$4:$H$550,Ausg._Liste!$F$4:$F$550,1102,Ausg._Liste!$G$4:$G$550,9)</f>
        <v>0</v>
      </c>
      <c r="L29" s="4">
        <f>SUMIFS(Ausg._Liste!$H$4:$H$550,Ausg._Liste!$F$4:$F$550,1102,Ausg._Liste!$G$4:$G$550,10)</f>
        <v>0</v>
      </c>
      <c r="M29" s="4">
        <f>SUMIFS(Ausg._Liste!$H$4:$H$550,Ausg._Liste!$F$4:$F$550,1102,Ausg._Liste!$G$4:$G$550,11)</f>
        <v>0</v>
      </c>
      <c r="N29" s="4">
        <f>SUMIFS(Ausg._Liste!$H$4:$H$550,Ausg._Liste!$F$4:$F$550,1102,Ausg._Liste!$G$4:$G$550,12)</f>
        <v>0</v>
      </c>
      <c r="O29" s="4">
        <f t="shared" si="2"/>
        <v>0</v>
      </c>
      <c r="P29" s="4"/>
    </row>
    <row r="30" spans="1:16" ht="18.75" x14ac:dyDescent="0.3">
      <c r="A30" s="24" t="s">
        <v>65</v>
      </c>
      <c r="B30" s="11">
        <v>1200</v>
      </c>
      <c r="C30" s="12">
        <f>SUM(C31:C33)</f>
        <v>0</v>
      </c>
      <c r="D30" s="12">
        <f t="shared" ref="D30:N30" si="8">SUM(D31:D33)</f>
        <v>0</v>
      </c>
      <c r="E30" s="12">
        <f t="shared" si="8"/>
        <v>0</v>
      </c>
      <c r="F30" s="12">
        <f t="shared" si="8"/>
        <v>0</v>
      </c>
      <c r="G30" s="12">
        <f t="shared" si="8"/>
        <v>0</v>
      </c>
      <c r="H30" s="12">
        <f t="shared" si="8"/>
        <v>0</v>
      </c>
      <c r="I30" s="12">
        <f t="shared" si="8"/>
        <v>0</v>
      </c>
      <c r="J30" s="12">
        <f t="shared" si="8"/>
        <v>0</v>
      </c>
      <c r="K30" s="12">
        <f t="shared" si="8"/>
        <v>0</v>
      </c>
      <c r="L30" s="12">
        <f t="shared" si="8"/>
        <v>0</v>
      </c>
      <c r="M30" s="12">
        <f t="shared" si="8"/>
        <v>0</v>
      </c>
      <c r="N30" s="12">
        <f t="shared" si="8"/>
        <v>0</v>
      </c>
      <c r="O30" s="9">
        <f t="shared" si="2"/>
        <v>0</v>
      </c>
      <c r="P30" s="4"/>
    </row>
    <row r="31" spans="1:16" x14ac:dyDescent="0.25">
      <c r="A31" t="s">
        <v>360</v>
      </c>
      <c r="B31">
        <v>1201</v>
      </c>
      <c r="C31" s="4">
        <f>SUMIFS(Ausg._Liste!$H$4:$H$550,Ausg._Liste!$F$4:$F$550,1201,Ausg._Liste!$G$4:$G$550,1)</f>
        <v>0</v>
      </c>
      <c r="D31" s="4">
        <f>SUMIFS(Ausg._Liste!$H$4:$H$550,Ausg._Liste!$F$4:$F$550,1201,Ausg._Liste!$G$4:$G$550,2)</f>
        <v>0</v>
      </c>
      <c r="E31" s="4">
        <f>SUMIFS(Ausg._Liste!$H$4:$H$550,Ausg._Liste!$F$4:$F$550,1201,Ausg._Liste!$G$4:$G$550,3)</f>
        <v>0</v>
      </c>
      <c r="F31" s="4">
        <f>SUMIFS(Ausg._Liste!$H$4:$H$550,Ausg._Liste!$F$4:$F$550,1201,Ausg._Liste!$G$4:$G$550,4)</f>
        <v>0</v>
      </c>
      <c r="G31" s="4">
        <f>SUMIFS(Ausg._Liste!$H$4:$H$550,Ausg._Liste!$F$4:$F$550,1201,Ausg._Liste!$G$4:$G$550,5)</f>
        <v>0</v>
      </c>
      <c r="H31" s="4">
        <f>SUMIFS(Ausg._Liste!$H$4:$H$550,Ausg._Liste!$F$4:$F$550,1201,Ausg._Liste!$G$4:$G$550,6)</f>
        <v>0</v>
      </c>
      <c r="I31" s="4">
        <f>SUMIFS(Ausg._Liste!$H$4:$H$550,Ausg._Liste!$F$4:$F$550,1201,Ausg._Liste!$G$4:$G$550,7)</f>
        <v>0</v>
      </c>
      <c r="J31" s="4">
        <f>SUMIFS(Ausg._Liste!$H$4:$H$550,Ausg._Liste!$F$4:$F$550,1201,Ausg._Liste!$G$4:$G$550,8)</f>
        <v>0</v>
      </c>
      <c r="K31" s="4">
        <f>SUMIFS(Ausg._Liste!$H$4:$H$550,Ausg._Liste!$F$4:$F$550,1201,Ausg._Liste!$G$4:$G$550,9)</f>
        <v>0</v>
      </c>
      <c r="L31" s="4">
        <f>SUMIFS(Ausg._Liste!$H$4:$H$550,Ausg._Liste!$F$4:$F$550,1201,Ausg._Liste!$G$4:$G$550,10)</f>
        <v>0</v>
      </c>
      <c r="M31" s="4">
        <f>SUMIFS(Ausg._Liste!$H$4:$H$550,Ausg._Liste!$F$4:$F$550,1201,Ausg._Liste!$G$4:$G$550,11)</f>
        <v>0</v>
      </c>
      <c r="N31" s="4">
        <f>SUMIFS(Ausg._Liste!$H$4:$H$550,Ausg._Liste!$F$4:$F$550,1201,Ausg._Liste!$G$4:$G$550,12)</f>
        <v>0</v>
      </c>
      <c r="O31" s="13">
        <f t="shared" si="2"/>
        <v>0</v>
      </c>
      <c r="P31" s="4"/>
    </row>
    <row r="32" spans="1:16" x14ac:dyDescent="0.25">
      <c r="A32" t="s">
        <v>354</v>
      </c>
      <c r="B32">
        <v>1202</v>
      </c>
      <c r="C32" s="4">
        <f>SUMIFS(Ausg._Liste!$H$4:$H$550,Ausg._Liste!$F$4:$F$550,1202,Ausg._Liste!$G$4:$G$550,1)</f>
        <v>0</v>
      </c>
      <c r="D32" s="4">
        <f>SUMIFS(Ausg._Liste!$H$4:$H$550,Ausg._Liste!$F$4:$F$550,1202,Ausg._Liste!$G$4:$G$550,2)</f>
        <v>0</v>
      </c>
      <c r="E32" s="4">
        <f>SUMIFS(Ausg._Liste!$H$4:$H$550,Ausg._Liste!$F$4:$F$550,1202,Ausg._Liste!$G$4:$G$550,3)</f>
        <v>0</v>
      </c>
      <c r="F32" s="4">
        <f>SUMIFS(Ausg._Liste!$H$4:$H$550,Ausg._Liste!$F$4:$F$550,1202,Ausg._Liste!$G$4:$G$550,4)</f>
        <v>0</v>
      </c>
      <c r="G32" s="4">
        <f>SUMIFS(Ausg._Liste!$H$4:$H$550,Ausg._Liste!$F$4:$F$550,1202,Ausg._Liste!$G$4:$G$550,5)</f>
        <v>0</v>
      </c>
      <c r="H32" s="4">
        <f>SUMIFS(Ausg._Liste!$H$4:$H$550,Ausg._Liste!$F$4:$F$550,1202,Ausg._Liste!$G$4:$G$550,6)</f>
        <v>0</v>
      </c>
      <c r="I32" s="4">
        <f>SUMIFS(Ausg._Liste!$H$4:$H$550,Ausg._Liste!$F$4:$F$550,1202,Ausg._Liste!$G$4:$G$550,7)</f>
        <v>0</v>
      </c>
      <c r="J32" s="4">
        <f>SUMIFS(Ausg._Liste!$H$4:$H$550,Ausg._Liste!$F$4:$F$550,1202,Ausg._Liste!$G$4:$G$550,8)</f>
        <v>0</v>
      </c>
      <c r="K32" s="4">
        <f>SUMIFS(Ausg._Liste!$H$4:$H$550,Ausg._Liste!$F$4:$F$550,1202,Ausg._Liste!$G$4:$G$550,9)</f>
        <v>0</v>
      </c>
      <c r="L32" s="4">
        <f>SUMIFS(Ausg._Liste!$H$4:$H$550,Ausg._Liste!$F$4:$F$550,1202,Ausg._Liste!$G$4:$G$550,10)</f>
        <v>0</v>
      </c>
      <c r="M32" s="4">
        <f>SUMIFS(Ausg._Liste!$H$4:$H$550,Ausg._Liste!$F$4:$F$550,1202,Ausg._Liste!$G$4:$G$550,11)</f>
        <v>0</v>
      </c>
      <c r="N32" s="4">
        <f>SUMIFS(Ausg._Liste!$H$4:$H$550,Ausg._Liste!$F$4:$F$550,1202,Ausg._Liste!$G$4:$G$550,12)</f>
        <v>0</v>
      </c>
      <c r="O32" s="13">
        <f t="shared" si="2"/>
        <v>0</v>
      </c>
      <c r="P32" s="4"/>
    </row>
    <row r="33" spans="1:16" x14ac:dyDescent="0.25">
      <c r="A33" t="s">
        <v>361</v>
      </c>
      <c r="B33">
        <v>1203</v>
      </c>
      <c r="C33" s="4">
        <f>SUMIFS(Ausg._Liste!$H$4:$H$550,Ausg._Liste!$F$4:$F$550,1203,Ausg._Liste!$G$4:$G$550,1)</f>
        <v>0</v>
      </c>
      <c r="D33" s="4">
        <f>SUMIFS(Ausg._Liste!$H$4:$H$550,Ausg._Liste!$F$4:$F$550,1203,Ausg._Liste!$G$4:$G$550,2)</f>
        <v>0</v>
      </c>
      <c r="E33" s="4">
        <f>SUMIFS(Ausg._Liste!$H$4:$H$550,Ausg._Liste!$F$4:$F$550,1203,Ausg._Liste!$G$4:$G$550,3)</f>
        <v>0</v>
      </c>
      <c r="F33" s="4">
        <f>SUMIFS(Ausg._Liste!$H$4:$H$550,Ausg._Liste!$F$4:$F$550,1203,Ausg._Liste!$G$4:$G$550,4)</f>
        <v>0</v>
      </c>
      <c r="G33" s="4">
        <f>SUMIFS(Ausg._Liste!$H$4:$H$550,Ausg._Liste!$F$4:$F$550,1203,Ausg._Liste!$G$4:$G$550,5)</f>
        <v>0</v>
      </c>
      <c r="H33" s="4">
        <f>SUMIFS(Ausg._Liste!$H$4:$H$550,Ausg._Liste!$F$4:$F$550,1203,Ausg._Liste!$G$4:$G$550,6)</f>
        <v>0</v>
      </c>
      <c r="I33" s="4">
        <f>SUMIFS(Ausg._Liste!$H$4:$H$550,Ausg._Liste!$F$4:$F$550,1203,Ausg._Liste!$G$4:$G$550,7)</f>
        <v>0</v>
      </c>
      <c r="J33" s="4">
        <f>SUMIFS(Ausg._Liste!$H$4:$H$550,Ausg._Liste!$F$4:$F$550,1203,Ausg._Liste!$G$4:$G$550,8)</f>
        <v>0</v>
      </c>
      <c r="K33" s="4">
        <f>SUMIFS(Ausg._Liste!$H$4:$H$550,Ausg._Liste!$F$4:$F$550,1203,Ausg._Liste!$G$4:$G$550,9)</f>
        <v>0</v>
      </c>
      <c r="L33" s="4">
        <f>SUMIFS(Ausg._Liste!$H$4:$H$550,Ausg._Liste!$F$4:$F$550,1203,Ausg._Liste!$G$4:$G$550,10)</f>
        <v>0</v>
      </c>
      <c r="M33" s="4">
        <f>SUMIFS(Ausg._Liste!$H$4:$H$550,Ausg._Liste!$F$4:$F$550,1203,Ausg._Liste!$G$4:$G$550,11)</f>
        <v>0</v>
      </c>
      <c r="N33" s="4">
        <f>SUMIFS(Ausg._Liste!$H$4:$H$550,Ausg._Liste!$F$4:$F$550,1203,Ausg._Liste!$G$4:$G$550,12)</f>
        <v>0</v>
      </c>
      <c r="O33" s="13">
        <f t="shared" si="2"/>
        <v>0</v>
      </c>
      <c r="P33" s="4"/>
    </row>
    <row r="34" spans="1:16" ht="18.75" x14ac:dyDescent="0.3">
      <c r="A34" s="24" t="s">
        <v>68</v>
      </c>
      <c r="B34" s="11">
        <v>1300</v>
      </c>
      <c r="C34" s="9">
        <f>SUM(C35:C38)</f>
        <v>0</v>
      </c>
      <c r="D34" s="9">
        <f t="shared" ref="D34:N34" si="9">SUM(D35:D38)</f>
        <v>0</v>
      </c>
      <c r="E34" s="9">
        <f t="shared" si="9"/>
        <v>0</v>
      </c>
      <c r="F34" s="9">
        <f t="shared" si="9"/>
        <v>0</v>
      </c>
      <c r="G34" s="9">
        <f t="shared" si="9"/>
        <v>0</v>
      </c>
      <c r="H34" s="9">
        <f t="shared" si="9"/>
        <v>0</v>
      </c>
      <c r="I34" s="9">
        <f t="shared" si="9"/>
        <v>0</v>
      </c>
      <c r="J34" s="9">
        <f t="shared" si="9"/>
        <v>0</v>
      </c>
      <c r="K34" s="9">
        <f t="shared" si="9"/>
        <v>0</v>
      </c>
      <c r="L34" s="9">
        <f t="shared" si="9"/>
        <v>0</v>
      </c>
      <c r="M34" s="9">
        <f t="shared" si="9"/>
        <v>0</v>
      </c>
      <c r="N34" s="9">
        <f t="shared" si="9"/>
        <v>0</v>
      </c>
      <c r="O34" s="9">
        <f t="shared" si="2"/>
        <v>0</v>
      </c>
      <c r="P34" s="4"/>
    </row>
    <row r="35" spans="1:16" x14ac:dyDescent="0.25">
      <c r="A35" t="s">
        <v>69</v>
      </c>
      <c r="B35">
        <v>1301</v>
      </c>
      <c r="C35" s="4">
        <f>SUMIFS(Ausg._Liste!$H$4:$H$550,Ausg._Liste!$F$4:$F$550,1301,Ausg._Liste!$G$4:$G$550,1)</f>
        <v>0</v>
      </c>
      <c r="D35" s="4">
        <f>SUMIFS(Ausg._Liste!$H$4:$H$550,Ausg._Liste!$F$4:$F$550,1301,Ausg._Liste!$G$4:$G$550,2)</f>
        <v>0</v>
      </c>
      <c r="E35" s="4">
        <f>SUMIFS(Ausg._Liste!$H$4:$H$550,Ausg._Liste!$F$4:$F$550,1301,Ausg._Liste!$G$4:$G$550,3)</f>
        <v>0</v>
      </c>
      <c r="F35" s="4">
        <f>SUMIFS(Ausg._Liste!$H$4:$H$550,Ausg._Liste!$F$4:$F$550,1301,Ausg._Liste!$G$4:$G$550,4)</f>
        <v>0</v>
      </c>
      <c r="G35" s="4">
        <f>SUMIFS(Ausg._Liste!$H$4:$H$550,Ausg._Liste!$F$4:$F$550,1301,Ausg._Liste!$G$4:$G$550,5)</f>
        <v>0</v>
      </c>
      <c r="H35" s="4">
        <f>SUMIFS(Ausg._Liste!$H$4:$H$550,Ausg._Liste!$F$4:$F$550,1301,Ausg._Liste!$G$4:$G$550,6)</f>
        <v>0</v>
      </c>
      <c r="I35" s="4">
        <f>SUMIFS(Ausg._Liste!$H$4:$H$550,Ausg._Liste!$F$4:$F$550,1301,Ausg._Liste!$G$4:$G$550,7)</f>
        <v>0</v>
      </c>
      <c r="J35" s="4">
        <f>SUMIFS(Ausg._Liste!$H$4:$H$550,Ausg._Liste!$F$4:$F$550,1301,Ausg._Liste!$G$4:$G$550,8)</f>
        <v>0</v>
      </c>
      <c r="K35" s="4">
        <f>SUMIFS(Ausg._Liste!$H$4:$H$550,Ausg._Liste!$F$4:$F$550,1301,Ausg._Liste!$G$4:$G$550,9)</f>
        <v>0</v>
      </c>
      <c r="L35" s="4">
        <f>SUMIFS(Ausg._Liste!$H$4:$H$550,Ausg._Liste!$F$4:$F$550,1301,Ausg._Liste!$G$4:$G$550,10)</f>
        <v>0</v>
      </c>
      <c r="M35" s="4">
        <f>SUMIFS(Ausg._Liste!$H$4:$H$550,Ausg._Liste!$F$4:$F$550,1301,Ausg._Liste!$G$4:$G$550,11)</f>
        <v>0</v>
      </c>
      <c r="N35" s="4">
        <f>SUMIFS(Ausg._Liste!$H$4:$H$550,Ausg._Liste!$F$4:$F$550,1301,Ausg._Liste!$G$4:$G$550,12)</f>
        <v>0</v>
      </c>
      <c r="O35" s="4">
        <f t="shared" ref="O35:O46" si="10">SUM(C35:N35)</f>
        <v>0</v>
      </c>
      <c r="P35" s="4"/>
    </row>
    <row r="36" spans="1:16" x14ac:dyDescent="0.25">
      <c r="A36" t="s">
        <v>70</v>
      </c>
      <c r="B36">
        <v>1302</v>
      </c>
      <c r="C36" s="4">
        <f>SUMIFS(Ausg._Liste!$H$4:$H$550,Ausg._Liste!$F$4:$F$550,1302,Ausg._Liste!$G$4:$G$550,1)</f>
        <v>0</v>
      </c>
      <c r="D36" s="4">
        <f>SUMIFS(Ausg._Liste!$H$4:$H$550,Ausg._Liste!$F$4:$F$550,1302,Ausg._Liste!$G$4:$G$550,2)</f>
        <v>0</v>
      </c>
      <c r="E36" s="4">
        <f>SUMIFS(Ausg._Liste!$H$4:$H$550,Ausg._Liste!$F$4:$F$550,1302,Ausg._Liste!$G$4:$G$550,3)</f>
        <v>0</v>
      </c>
      <c r="F36" s="4">
        <f>SUMIFS(Ausg._Liste!$H$4:$H$550,Ausg._Liste!$F$4:$F$550,1302,Ausg._Liste!$G$4:$G$550,4)</f>
        <v>0</v>
      </c>
      <c r="G36" s="4">
        <f>SUMIFS(Ausg._Liste!$H$4:$H$550,Ausg._Liste!$F$4:$F$550,1302,Ausg._Liste!$G$4:$G$550,5)</f>
        <v>0</v>
      </c>
      <c r="H36" s="4">
        <f>SUMIFS(Ausg._Liste!$H$4:$H$550,Ausg._Liste!$F$4:$F$550,1302,Ausg._Liste!$G$4:$G$550,6)</f>
        <v>0</v>
      </c>
      <c r="I36" s="4">
        <f>SUMIFS(Ausg._Liste!$H$4:$H$550,Ausg._Liste!$F$4:$F$550,1302,Ausg._Liste!$G$4:$G$550,7)</f>
        <v>0</v>
      </c>
      <c r="J36" s="4">
        <f>SUMIFS(Ausg._Liste!$H$4:$H$550,Ausg._Liste!$F$4:$F$550,1302,Ausg._Liste!$G$4:$G$550,8)</f>
        <v>0</v>
      </c>
      <c r="K36" s="4">
        <f>SUMIFS(Ausg._Liste!$H$4:$H$550,Ausg._Liste!$F$4:$F$550,1302,Ausg._Liste!$G$4:$G$550,9)</f>
        <v>0</v>
      </c>
      <c r="L36" s="4">
        <f>SUMIFS(Ausg._Liste!$H$4:$H$550,Ausg._Liste!$F$4:$F$550,1302,Ausg._Liste!$G$4:$G$550,10)</f>
        <v>0</v>
      </c>
      <c r="M36" s="4">
        <f>SUMIFS(Ausg._Liste!$H$4:$H$550,Ausg._Liste!$F$4:$F$550,1302,Ausg._Liste!$G$4:$G$550,11)</f>
        <v>0</v>
      </c>
      <c r="N36" s="4">
        <f>SUMIFS(Ausg._Liste!$H$4:$H$550,Ausg._Liste!$F$4:$F$550,1302,Ausg._Liste!$G$4:$G$550,12)</f>
        <v>0</v>
      </c>
      <c r="O36" s="4">
        <f t="shared" si="10"/>
        <v>0</v>
      </c>
      <c r="P36" s="4"/>
    </row>
    <row r="37" spans="1:16" x14ac:dyDescent="0.25">
      <c r="A37" t="s">
        <v>71</v>
      </c>
      <c r="B37">
        <v>1303</v>
      </c>
      <c r="C37" s="4">
        <f>SUMIFS(Ausg._Liste!$H$4:$H$550,Ausg._Liste!$F$4:$F$550,1303,Ausg._Liste!$G$4:$G$550,1)</f>
        <v>0</v>
      </c>
      <c r="D37" s="4">
        <f>SUMIFS(Ausg._Liste!$H$4:$H$550,Ausg._Liste!$F$4:$F$550,1303,Ausg._Liste!$G$4:$G$550,2)</f>
        <v>0</v>
      </c>
      <c r="E37" s="4">
        <f>SUMIFS(Ausg._Liste!$H$4:$H$550,Ausg._Liste!$F$4:$F$550,1303,Ausg._Liste!$G$4:$G$550,3)</f>
        <v>0</v>
      </c>
      <c r="F37" s="4">
        <f>SUMIFS(Ausg._Liste!$H$4:$H$550,Ausg._Liste!$F$4:$F$550,1303,Ausg._Liste!$G$4:$G$550,4)</f>
        <v>0</v>
      </c>
      <c r="G37" s="4">
        <f>SUMIFS(Ausg._Liste!$H$4:$H$550,Ausg._Liste!$F$4:$F$550,1303,Ausg._Liste!$G$4:$G$550,5)</f>
        <v>0</v>
      </c>
      <c r="H37" s="4">
        <f>SUMIFS(Ausg._Liste!$H$4:$H$550,Ausg._Liste!$F$4:$F$550,1303,Ausg._Liste!$G$4:$G$550,6)</f>
        <v>0</v>
      </c>
      <c r="I37" s="4">
        <f>SUMIFS(Ausg._Liste!$H$4:$H$550,Ausg._Liste!$F$4:$F$550,1303,Ausg._Liste!$G$4:$G$550,7)</f>
        <v>0</v>
      </c>
      <c r="J37" s="4">
        <f>SUMIFS(Ausg._Liste!$H$4:$H$550,Ausg._Liste!$F$4:$F$550,1303,Ausg._Liste!$G$4:$G$550,8)</f>
        <v>0</v>
      </c>
      <c r="K37" s="4">
        <f>SUMIFS(Ausg._Liste!$H$4:$H$550,Ausg._Liste!$F$4:$F$550,1303,Ausg._Liste!$G$4:$G$550,9)</f>
        <v>0</v>
      </c>
      <c r="L37" s="4">
        <f>SUMIFS(Ausg._Liste!$H$4:$H$550,Ausg._Liste!$F$4:$F$550,1303,Ausg._Liste!$G$4:$G$550,10)</f>
        <v>0</v>
      </c>
      <c r="M37" s="4">
        <f>SUMIFS(Ausg._Liste!$H$4:$H$550,Ausg._Liste!$F$4:$F$550,1303,Ausg._Liste!$G$4:$G$550,11)</f>
        <v>0</v>
      </c>
      <c r="N37" s="4">
        <f>SUMIFS(Ausg._Liste!$H$4:$H$550,Ausg._Liste!$F$4:$F$550,1303,Ausg._Liste!$G$4:$G$550,12)</f>
        <v>0</v>
      </c>
      <c r="O37" s="4">
        <f t="shared" si="10"/>
        <v>0</v>
      </c>
      <c r="P37" s="4"/>
    </row>
    <row r="38" spans="1:16" x14ac:dyDescent="0.25">
      <c r="A38" t="s">
        <v>72</v>
      </c>
      <c r="B38">
        <v>1304</v>
      </c>
      <c r="C38" s="4">
        <f>SUMIFS(Ausg._Liste!$H$4:$H$550,Ausg._Liste!$F$4:$F$550,1304,Ausg._Liste!$G$4:$G$550,1)</f>
        <v>0</v>
      </c>
      <c r="D38" s="4">
        <f>SUMIFS(Ausg._Liste!$H$4:$H$550,Ausg._Liste!$F$4:$F$550,1304,Ausg._Liste!$G$4:$G$550,2)</f>
        <v>0</v>
      </c>
      <c r="E38" s="4">
        <f>SUMIFS(Ausg._Liste!$H$4:$H$550,Ausg._Liste!$F$4:$F$550,1304,Ausg._Liste!$G$4:$G$550,3)</f>
        <v>0</v>
      </c>
      <c r="F38" s="4">
        <f>SUMIFS(Ausg._Liste!$H$4:$H$550,Ausg._Liste!$F$4:$F$550,1304,Ausg._Liste!$G$4:$G$550,4)</f>
        <v>0</v>
      </c>
      <c r="G38" s="4">
        <f>SUMIFS(Ausg._Liste!$H$4:$H$550,Ausg._Liste!$F$4:$F$550,1304,Ausg._Liste!$G$4:$G$550,5)</f>
        <v>0</v>
      </c>
      <c r="H38" s="4">
        <f>SUMIFS(Ausg._Liste!$H$4:$H$550,Ausg._Liste!$F$4:$F$550,1304,Ausg._Liste!$G$4:$G$550,6)</f>
        <v>0</v>
      </c>
      <c r="I38" s="4">
        <f>SUMIFS(Ausg._Liste!$H$4:$H$550,Ausg._Liste!$F$4:$F$550,1304,Ausg._Liste!$G$4:$G$550,7)</f>
        <v>0</v>
      </c>
      <c r="J38" s="4">
        <f>SUMIFS(Ausg._Liste!$H$4:$H$550,Ausg._Liste!$F$4:$F$550,1304,Ausg._Liste!$G$4:$G$550,8)</f>
        <v>0</v>
      </c>
      <c r="K38" s="4">
        <f>SUMIFS(Ausg._Liste!$H$4:$H$550,Ausg._Liste!$F$4:$F$550,1304,Ausg._Liste!$G$4:$G$550,9)</f>
        <v>0</v>
      </c>
      <c r="L38" s="4">
        <f>SUMIFS(Ausg._Liste!$H$4:$H$550,Ausg._Liste!$F$4:$F$550,1304,Ausg._Liste!$G$4:$G$550,10)</f>
        <v>0</v>
      </c>
      <c r="M38" s="4">
        <f>SUMIFS(Ausg._Liste!$H$4:$H$550,Ausg._Liste!$F$4:$F$550,1304,Ausg._Liste!$G$4:$G$550,11)</f>
        <v>0</v>
      </c>
      <c r="N38" s="4">
        <f>SUMIFS(Ausg._Liste!$H$4:$H$550,Ausg._Liste!$F$4:$F$550,1304,Ausg._Liste!$G$4:$G$550,12)</f>
        <v>0</v>
      </c>
      <c r="O38" s="4">
        <f t="shared" si="10"/>
        <v>0</v>
      </c>
      <c r="P38" s="4"/>
    </row>
    <row r="39" spans="1:16" ht="18.75" x14ac:dyDescent="0.3">
      <c r="A39" s="24" t="s">
        <v>73</v>
      </c>
      <c r="B39" s="11">
        <v>1400</v>
      </c>
      <c r="C39" s="9">
        <f>SUM(C40:C46)</f>
        <v>0</v>
      </c>
      <c r="D39" s="9">
        <f t="shared" ref="D39:N39" si="11">SUM(D40:D46)</f>
        <v>0</v>
      </c>
      <c r="E39" s="9">
        <f t="shared" si="11"/>
        <v>0</v>
      </c>
      <c r="F39" s="9">
        <f t="shared" si="11"/>
        <v>0</v>
      </c>
      <c r="G39" s="9">
        <f t="shared" si="11"/>
        <v>0</v>
      </c>
      <c r="H39" s="9">
        <f t="shared" si="11"/>
        <v>0</v>
      </c>
      <c r="I39" s="9">
        <f t="shared" si="11"/>
        <v>0</v>
      </c>
      <c r="J39" s="9">
        <f t="shared" si="11"/>
        <v>0</v>
      </c>
      <c r="K39" s="9">
        <f t="shared" si="11"/>
        <v>0</v>
      </c>
      <c r="L39" s="9">
        <f t="shared" si="11"/>
        <v>0</v>
      </c>
      <c r="M39" s="9">
        <f t="shared" si="11"/>
        <v>0</v>
      </c>
      <c r="N39" s="9">
        <f t="shared" si="11"/>
        <v>0</v>
      </c>
      <c r="O39" s="9">
        <f t="shared" si="10"/>
        <v>0</v>
      </c>
      <c r="P39" s="4"/>
    </row>
    <row r="40" spans="1:16" x14ac:dyDescent="0.25">
      <c r="A40" t="s">
        <v>75</v>
      </c>
      <c r="B40">
        <v>1401</v>
      </c>
      <c r="C40" s="4">
        <f>SUMIFS(Ausg._Liste!$H$4:$H$550,Ausg._Liste!$F$4:$F$550,1401,Ausg._Liste!$G$4:$G$550,1)</f>
        <v>0</v>
      </c>
      <c r="D40" s="4">
        <f>SUMIFS(Ausg._Liste!$H$4:$H$550,Ausg._Liste!$F$4:$F$550,1401,Ausg._Liste!$G$4:$G$550,2)</f>
        <v>0</v>
      </c>
      <c r="E40" s="4">
        <f>SUMIFS(Ausg._Liste!$H$4:$H$550,Ausg._Liste!$F$4:$F$550,1401,Ausg._Liste!$G$4:$G$550,3)</f>
        <v>0</v>
      </c>
      <c r="F40" s="4">
        <f>SUMIFS(Ausg._Liste!$H$4:$H$550,Ausg._Liste!$F$4:$F$550,1401,Ausg._Liste!$G$4:$G$550,4)</f>
        <v>0</v>
      </c>
      <c r="G40" s="4">
        <f>SUMIFS(Ausg._Liste!$H$4:$H$550,Ausg._Liste!$F$4:$F$550,1401,Ausg._Liste!$G$4:$G$550,5)</f>
        <v>0</v>
      </c>
      <c r="H40" s="4">
        <f>SUMIFS(Ausg._Liste!$H$4:$H$550,Ausg._Liste!$F$4:$F$550,1401,Ausg._Liste!$G$4:$G$550,6)</f>
        <v>0</v>
      </c>
      <c r="I40" s="4">
        <f>SUMIFS(Ausg._Liste!$H$4:$H$550,Ausg._Liste!$F$4:$F$550,1401,Ausg._Liste!$G$4:$G$550,7)</f>
        <v>0</v>
      </c>
      <c r="J40" s="4">
        <f>SUMIFS(Ausg._Liste!$H$4:$H$550,Ausg._Liste!$F$4:$F$550,1401,Ausg._Liste!$G$4:$G$550,8)</f>
        <v>0</v>
      </c>
      <c r="K40" s="4">
        <f>SUMIFS(Ausg._Liste!$H$4:$H$550,Ausg._Liste!$F$4:$F$550,1401,Ausg._Liste!$G$4:$G$550,9)</f>
        <v>0</v>
      </c>
      <c r="L40" s="4">
        <f>SUMIFS(Ausg._Liste!$H$4:$H$550,Ausg._Liste!$F$4:$F$550,1401,Ausg._Liste!$G$4:$G$550,10)</f>
        <v>0</v>
      </c>
      <c r="M40" s="4">
        <f>SUMIFS(Ausg._Liste!$H$4:$H$550,Ausg._Liste!$F$4:$F$550,1401,Ausg._Liste!$G$4:$G$550,11)</f>
        <v>0</v>
      </c>
      <c r="N40" s="4">
        <f>SUMIFS(Ausg._Liste!$H$4:$H$550,Ausg._Liste!$F$4:$F$550,1401,Ausg._Liste!$G$4:$G$550,12)</f>
        <v>0</v>
      </c>
      <c r="O40" s="4">
        <f t="shared" si="10"/>
        <v>0</v>
      </c>
      <c r="P40" s="4"/>
    </row>
    <row r="41" spans="1:16" x14ac:dyDescent="0.25">
      <c r="A41" t="s">
        <v>76</v>
      </c>
      <c r="B41">
        <v>1402</v>
      </c>
      <c r="C41" s="4">
        <f>SUMIFS(Ausg._Liste!$H$4:$H$550,Ausg._Liste!$F$4:$F$550,1402,Ausg._Liste!$G$4:$G$550,1)</f>
        <v>0</v>
      </c>
      <c r="D41" s="4">
        <f>SUMIFS(Ausg._Liste!$H$4:$H$550,Ausg._Liste!$F$4:$F$550,1402,Ausg._Liste!$G$4:$G$550,2)</f>
        <v>0</v>
      </c>
      <c r="E41" s="4">
        <f>SUMIFS(Ausg._Liste!$H$4:$H$550,Ausg._Liste!$F$4:$F$550,1402,Ausg._Liste!$G$4:$G$550,3)</f>
        <v>0</v>
      </c>
      <c r="F41" s="4">
        <f>SUMIFS(Ausg._Liste!$H$4:$H$550,Ausg._Liste!$F$4:$F$550,1402,Ausg._Liste!$G$4:$G$550,4)</f>
        <v>0</v>
      </c>
      <c r="G41" s="4">
        <f>SUMIFS(Ausg._Liste!$H$4:$H$550,Ausg._Liste!$F$4:$F$550,1402,Ausg._Liste!$G$4:$G$550,5)</f>
        <v>0</v>
      </c>
      <c r="H41" s="4">
        <f>SUMIFS(Ausg._Liste!$H$4:$H$550,Ausg._Liste!$F$4:$F$550,1402,Ausg._Liste!$G$4:$G$550,6)</f>
        <v>0</v>
      </c>
      <c r="I41" s="4">
        <f>SUMIFS(Ausg._Liste!$H$4:$H$550,Ausg._Liste!$F$4:$F$550,1402,Ausg._Liste!$G$4:$G$550,7)</f>
        <v>0</v>
      </c>
      <c r="J41" s="4">
        <f>SUMIFS(Ausg._Liste!$H$4:$H$550,Ausg._Liste!$F$4:$F$550,1402,Ausg._Liste!$G$4:$G$550,8)</f>
        <v>0</v>
      </c>
      <c r="K41" s="4">
        <f>SUMIFS(Ausg._Liste!$H$4:$H$550,Ausg._Liste!$F$4:$F$550,1402,Ausg._Liste!$G$4:$G$550,9)</f>
        <v>0</v>
      </c>
      <c r="L41" s="4">
        <f>SUMIFS(Ausg._Liste!$H$4:$H$550,Ausg._Liste!$F$4:$F$550,1402,Ausg._Liste!$G$4:$G$550,10)</f>
        <v>0</v>
      </c>
      <c r="M41" s="4">
        <f>SUMIFS(Ausg._Liste!$H$4:$H$550,Ausg._Liste!$F$4:$F$550,1402,Ausg._Liste!$G$4:$G$550,11)</f>
        <v>0</v>
      </c>
      <c r="N41" s="4">
        <f>SUMIFS(Ausg._Liste!$H$4:$H$550,Ausg._Liste!$F$4:$F$550,1402,Ausg._Liste!$G$4:$G$550,12)</f>
        <v>0</v>
      </c>
      <c r="O41" s="4">
        <f t="shared" si="10"/>
        <v>0</v>
      </c>
      <c r="P41" s="4"/>
    </row>
    <row r="42" spans="1:16" x14ac:dyDescent="0.25">
      <c r="A42" t="s">
        <v>77</v>
      </c>
      <c r="B42">
        <v>1403</v>
      </c>
      <c r="C42" s="4">
        <f>SUMIFS(Ausg._Liste!$H$4:$H$550,Ausg._Liste!$F$4:$F$550,1403,Ausg._Liste!$G$4:$G$550,1)</f>
        <v>0</v>
      </c>
      <c r="D42" s="4">
        <f>SUMIFS(Ausg._Liste!$H$4:$H$550,Ausg._Liste!$F$4:$F$550,1403,Ausg._Liste!$G$4:$G$550,2)</f>
        <v>0</v>
      </c>
      <c r="E42" s="4">
        <f>SUMIFS(Ausg._Liste!$H$4:$H$550,Ausg._Liste!$F$4:$F$550,1403,Ausg._Liste!$G$4:$G$550,3)</f>
        <v>0</v>
      </c>
      <c r="F42" s="4">
        <f>SUMIFS(Ausg._Liste!$H$4:$H$550,Ausg._Liste!$F$4:$F$550,1403,Ausg._Liste!$G$4:$G$550,4)</f>
        <v>0</v>
      </c>
      <c r="G42" s="4">
        <f>SUMIFS(Ausg._Liste!$H$4:$H$550,Ausg._Liste!$F$4:$F$550,1403,Ausg._Liste!$G$4:$G$550,5)</f>
        <v>0</v>
      </c>
      <c r="H42" s="4">
        <f>SUMIFS(Ausg._Liste!$H$4:$H$550,Ausg._Liste!$F$4:$F$550,1403,Ausg._Liste!$G$4:$G$550,6)</f>
        <v>0</v>
      </c>
      <c r="I42" s="4">
        <f>SUMIFS(Ausg._Liste!$H$4:$H$550,Ausg._Liste!$F$4:$F$550,1403,Ausg._Liste!$G$4:$G$550,7)</f>
        <v>0</v>
      </c>
      <c r="J42" s="4">
        <f>SUMIFS(Ausg._Liste!$H$4:$H$550,Ausg._Liste!$F$4:$F$550,1403,Ausg._Liste!$G$4:$G$550,8)</f>
        <v>0</v>
      </c>
      <c r="K42" s="4">
        <f>SUMIFS(Ausg._Liste!$H$4:$H$550,Ausg._Liste!$F$4:$F$550,1403,Ausg._Liste!$G$4:$G$550,9)</f>
        <v>0</v>
      </c>
      <c r="L42" s="4">
        <f>SUMIFS(Ausg._Liste!$H$4:$H$550,Ausg._Liste!$F$4:$F$550,1403,Ausg._Liste!$G$4:$G$550,10)</f>
        <v>0</v>
      </c>
      <c r="M42" s="4">
        <f>SUMIFS(Ausg._Liste!$H$4:$H$550,Ausg._Liste!$F$4:$F$550,1403,Ausg._Liste!$G$4:$G$550,11)</f>
        <v>0</v>
      </c>
      <c r="N42" s="4">
        <f>SUMIFS(Ausg._Liste!$H$4:$H$550,Ausg._Liste!$F$4:$F$550,1403,Ausg._Liste!$G$4:$G$550,12)</f>
        <v>0</v>
      </c>
      <c r="O42" s="4">
        <f t="shared" si="10"/>
        <v>0</v>
      </c>
    </row>
    <row r="43" spans="1:16" x14ac:dyDescent="0.25">
      <c r="A43" t="s">
        <v>78</v>
      </c>
      <c r="B43">
        <v>1404</v>
      </c>
      <c r="C43" s="4">
        <f>SUMIFS(Ausg._Liste!$H$4:$H$550,Ausg._Liste!$F$4:$F$550,1404,Ausg._Liste!$G$4:$G$550,1)</f>
        <v>0</v>
      </c>
      <c r="D43" s="4">
        <f>SUMIFS(Ausg._Liste!$H$4:$H$550,Ausg._Liste!$F$4:$F$550,1404,Ausg._Liste!$G$4:$G$550,2)</f>
        <v>0</v>
      </c>
      <c r="E43" s="4">
        <f>SUMIFS(Ausg._Liste!$H$4:$H$550,Ausg._Liste!$F$4:$F$550,1404,Ausg._Liste!$G$4:$G$550,3)</f>
        <v>0</v>
      </c>
      <c r="F43" s="4">
        <f>SUMIFS(Ausg._Liste!$H$4:$H$550,Ausg._Liste!$F$4:$F$550,1404,Ausg._Liste!$G$4:$G$550,4)</f>
        <v>0</v>
      </c>
      <c r="G43" s="4">
        <f>SUMIFS(Ausg._Liste!$H$4:$H$550,Ausg._Liste!$F$4:$F$550,1404,Ausg._Liste!$G$4:$G$550,5)</f>
        <v>0</v>
      </c>
      <c r="H43" s="4">
        <f>SUMIFS(Ausg._Liste!$H$4:$H$550,Ausg._Liste!$F$4:$F$550,1404,Ausg._Liste!$G$4:$G$550,6)</f>
        <v>0</v>
      </c>
      <c r="I43" s="4">
        <f>SUMIFS(Ausg._Liste!$H$4:$H$550,Ausg._Liste!$F$4:$F$550,1404,Ausg._Liste!$G$4:$G$550,7)</f>
        <v>0</v>
      </c>
      <c r="J43" s="4">
        <f>SUMIFS(Ausg._Liste!$H$4:$H$550,Ausg._Liste!$F$4:$F$550,1404,Ausg._Liste!$G$4:$G$550,8)</f>
        <v>0</v>
      </c>
      <c r="K43" s="4">
        <f>SUMIFS(Ausg._Liste!$H$4:$H$550,Ausg._Liste!$F$4:$F$550,1404,Ausg._Liste!$G$4:$G$550,9)</f>
        <v>0</v>
      </c>
      <c r="L43" s="4">
        <f>SUMIFS(Ausg._Liste!$H$4:$H$550,Ausg._Liste!$F$4:$F$550,1404,Ausg._Liste!$G$4:$G$550,10)</f>
        <v>0</v>
      </c>
      <c r="M43" s="4">
        <f>SUMIFS(Ausg._Liste!$H$4:$H$550,Ausg._Liste!$F$4:$F$550,1404,Ausg._Liste!$G$4:$G$550,11)</f>
        <v>0</v>
      </c>
      <c r="N43" s="4">
        <f>SUMIFS(Ausg._Liste!$H$4:$H$550,Ausg._Liste!$F$4:$F$550,1404,Ausg._Liste!$G$4:$G$550,12)</f>
        <v>0</v>
      </c>
      <c r="O43" s="4">
        <f t="shared" si="10"/>
        <v>0</v>
      </c>
    </row>
    <row r="44" spans="1:16" x14ac:dyDescent="0.25">
      <c r="A44" t="s">
        <v>112</v>
      </c>
      <c r="B44">
        <v>1405</v>
      </c>
      <c r="C44" s="4">
        <f>SUMIFS(Ausg._Liste!$H$4:$H$550,Ausg._Liste!$F$4:$F$550,1405,Ausg._Liste!$G$4:$G$550,1)</f>
        <v>0</v>
      </c>
      <c r="D44" s="4">
        <f>SUMIFS(Ausg._Liste!$H$4:$H$550,Ausg._Liste!$F$4:$F$550,1405,Ausg._Liste!$G$4:$G$550,2)</f>
        <v>0</v>
      </c>
      <c r="E44" s="4">
        <f>SUMIFS(Ausg._Liste!$H$4:$H$550,Ausg._Liste!$F$4:$F$550,1405,Ausg._Liste!$G$4:$G$550,3)</f>
        <v>0</v>
      </c>
      <c r="F44" s="4">
        <f>SUMIFS(Ausg._Liste!$H$4:$H$550,Ausg._Liste!$F$4:$F$550,1405,Ausg._Liste!$G$4:$G$550,4)</f>
        <v>0</v>
      </c>
      <c r="G44" s="4">
        <f>SUMIFS(Ausg._Liste!$H$4:$H$550,Ausg._Liste!$F$4:$F$550,1405,Ausg._Liste!$G$4:$G$550,5)</f>
        <v>0</v>
      </c>
      <c r="H44" s="4">
        <f>SUMIFS(Ausg._Liste!$H$4:$H$550,Ausg._Liste!$F$4:$F$550,1405,Ausg._Liste!$G$4:$G$550,6)</f>
        <v>0</v>
      </c>
      <c r="I44" s="4">
        <f>SUMIFS(Ausg._Liste!$H$4:$H$550,Ausg._Liste!$F$4:$F$550,1405,Ausg._Liste!$G$4:$G$550,7)</f>
        <v>0</v>
      </c>
      <c r="J44" s="4">
        <f>SUMIFS(Ausg._Liste!$H$4:$H$550,Ausg._Liste!$F$4:$F$550,1405,Ausg._Liste!$G$4:$G$550,8)</f>
        <v>0</v>
      </c>
      <c r="K44" s="4">
        <f>SUMIFS(Ausg._Liste!$H$4:$H$550,Ausg._Liste!$F$4:$F$550,1405,Ausg._Liste!$G$4:$G$550,9)</f>
        <v>0</v>
      </c>
      <c r="L44" s="4">
        <f>SUMIFS(Ausg._Liste!$H$4:$H$550,Ausg._Liste!$F$4:$F$550,1405,Ausg._Liste!$G$4:$G$550,10)</f>
        <v>0</v>
      </c>
      <c r="M44" s="4">
        <f>SUMIFS(Ausg._Liste!$H$4:$H$550,Ausg._Liste!$F$4:$F$550,1405,Ausg._Liste!$G$4:$G$550,11)</f>
        <v>0</v>
      </c>
      <c r="N44" s="4">
        <f>SUMIFS(Ausg._Liste!$H$4:$H$550,Ausg._Liste!$F$4:$F$550,1405,Ausg._Liste!$G$4:$G$550,12)</f>
        <v>0</v>
      </c>
      <c r="O44" s="4">
        <f t="shared" si="10"/>
        <v>0</v>
      </c>
    </row>
    <row r="45" spans="1:16" x14ac:dyDescent="0.25">
      <c r="A45" t="s">
        <v>137</v>
      </c>
      <c r="B45">
        <v>1406</v>
      </c>
      <c r="C45" s="4">
        <f>SUMIFS(Ausg._Liste!$H$4:$H$550,Ausg._Liste!$F$4:$F$550,1406,Ausg._Liste!$G$4:$G$550,1)</f>
        <v>0</v>
      </c>
      <c r="D45" s="4">
        <f>SUMIFS(Ausg._Liste!$H$4:$H$550,Ausg._Liste!$F$4:$F$550,1406,Ausg._Liste!$G$4:$G$550,2)</f>
        <v>0</v>
      </c>
      <c r="E45" s="4">
        <f>SUMIFS(Ausg._Liste!$H$4:$H$550,Ausg._Liste!$F$4:$F$550,1406,Ausg._Liste!$G$4:$G$550,3)</f>
        <v>0</v>
      </c>
      <c r="F45" s="4">
        <f>SUMIFS(Ausg._Liste!$H$4:$H$550,Ausg._Liste!$F$4:$F$550,1406,Ausg._Liste!$G$4:$G$550,4)</f>
        <v>0</v>
      </c>
      <c r="G45" s="4">
        <f>SUMIFS(Ausg._Liste!$H$4:$H$550,Ausg._Liste!$F$4:$F$550,1406,Ausg._Liste!$G$4:$G$550,5)</f>
        <v>0</v>
      </c>
      <c r="H45" s="4">
        <f>SUMIFS(Ausg._Liste!$H$4:$H$550,Ausg._Liste!$F$4:$F$550,1406,Ausg._Liste!$G$4:$G$550,6)</f>
        <v>0</v>
      </c>
      <c r="I45" s="4">
        <f>SUMIFS(Ausg._Liste!$H$4:$H$550,Ausg._Liste!$F$4:$F$550,1406,Ausg._Liste!$G$4:$G$550,7)</f>
        <v>0</v>
      </c>
      <c r="J45" s="4">
        <f>SUMIFS(Ausg._Liste!$H$4:$H$550,Ausg._Liste!$F$4:$F$550,1406,Ausg._Liste!$G$4:$G$550,8)</f>
        <v>0</v>
      </c>
      <c r="K45" s="4">
        <f>SUMIFS(Ausg._Liste!$H$4:$H$550,Ausg._Liste!$F$4:$F$550,1406,Ausg._Liste!$G$4:$G$550,9)</f>
        <v>0</v>
      </c>
      <c r="L45" s="4">
        <f>SUMIFS(Ausg._Liste!$H$4:$H$550,Ausg._Liste!$F$4:$F$550,1406,Ausg._Liste!$G$4:$G$550,10)</f>
        <v>0</v>
      </c>
      <c r="M45" s="4">
        <f>SUMIFS(Ausg._Liste!$H$4:$H$550,Ausg._Liste!$F$4:$F$550,1406,Ausg._Liste!$G$4:$G$550,11)</f>
        <v>0</v>
      </c>
      <c r="N45" s="4">
        <f>SUMIFS(Ausg._Liste!$H$4:$H$550,Ausg._Liste!$F$4:$F$550,1406,Ausg._Liste!$G$4:$G$550,12)</f>
        <v>0</v>
      </c>
      <c r="O45" s="4">
        <f t="shared" si="10"/>
        <v>0</v>
      </c>
    </row>
    <row r="46" spans="1:16" x14ac:dyDescent="0.25">
      <c r="A46" t="s">
        <v>116</v>
      </c>
      <c r="B46">
        <v>1407</v>
      </c>
      <c r="C46" s="4">
        <f>SUMIFS(Ausg._Liste!$H$4:$H$550,Ausg._Liste!$F$4:$F$550,1407,Ausg._Liste!$G$4:$G$550,1)</f>
        <v>0</v>
      </c>
      <c r="D46" s="4">
        <f>SUMIFS(Ausg._Liste!$H$4:$H$550,Ausg._Liste!$F$4:$F$550,1407,Ausg._Liste!$G$4:$G$550,2)</f>
        <v>0</v>
      </c>
      <c r="E46" s="4">
        <f>SUMIFS(Ausg._Liste!$H$4:$H$550,Ausg._Liste!$F$4:$F$550,1407,Ausg._Liste!$G$4:$G$550,3)</f>
        <v>0</v>
      </c>
      <c r="F46" s="4">
        <f>SUMIFS(Ausg._Liste!$H$4:$H$550,Ausg._Liste!$F$4:$F$550,1407,Ausg._Liste!$G$4:$G$550,4)</f>
        <v>0</v>
      </c>
      <c r="G46" s="4">
        <f>SUMIFS(Ausg._Liste!$H$4:$H$550,Ausg._Liste!$F$4:$F$550,1407,Ausg._Liste!$G$4:$G$550,5)</f>
        <v>0</v>
      </c>
      <c r="H46" s="4">
        <f>SUMIFS(Ausg._Liste!$H$4:$H$550,Ausg._Liste!$F$4:$F$550,1407,Ausg._Liste!$G$4:$G$550,6)</f>
        <v>0</v>
      </c>
      <c r="I46" s="4">
        <f>SUMIFS(Ausg._Liste!$H$4:$H$550,Ausg._Liste!$F$4:$F$550,1407,Ausg._Liste!$G$4:$G$550,7)</f>
        <v>0</v>
      </c>
      <c r="J46" s="4">
        <f>SUMIFS(Ausg._Liste!$H$4:$H$550,Ausg._Liste!$F$4:$F$550,1407,Ausg._Liste!$G$4:$G$550,8)</f>
        <v>0</v>
      </c>
      <c r="K46" s="4">
        <f>SUMIFS(Ausg._Liste!$H$4:$H$550,Ausg._Liste!$F$4:$F$550,1407,Ausg._Liste!$G$4:$G$550,9)</f>
        <v>0</v>
      </c>
      <c r="L46" s="4">
        <f>SUMIFS(Ausg._Liste!$H$4:$H$550,Ausg._Liste!$F$4:$F$550,1407,Ausg._Liste!$G$4:$G$550,10)</f>
        <v>0</v>
      </c>
      <c r="M46" s="4">
        <f>SUMIFS(Ausg._Liste!$H$4:$H$550,Ausg._Liste!$F$4:$F$550,1407,Ausg._Liste!$G$4:$G$550,11)</f>
        <v>0</v>
      </c>
      <c r="N46" s="4">
        <f>SUMIFS(Ausg._Liste!$H$4:$H$550,Ausg._Liste!$F$4:$F$550,1407,Ausg._Liste!$G$4:$G$550,12)</f>
        <v>0</v>
      </c>
      <c r="O46" s="4">
        <f t="shared" si="10"/>
        <v>0</v>
      </c>
    </row>
    <row r="47" spans="1:16" x14ac:dyDescent="0.25"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</row>
    <row r="48" spans="1:16" x14ac:dyDescent="0.25"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</row>
    <row r="49" spans="3:15" x14ac:dyDescent="0.25"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</row>
    <row r="50" spans="3:15" x14ac:dyDescent="0.25"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</row>
    <row r="51" spans="3:15" x14ac:dyDescent="0.25"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</row>
    <row r="52" spans="3:15" x14ac:dyDescent="0.25"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</row>
    <row r="53" spans="3:15" x14ac:dyDescent="0.25"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</row>
    <row r="54" spans="3:15" x14ac:dyDescent="0.25"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</row>
    <row r="55" spans="3:15" x14ac:dyDescent="0.25"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</row>
    <row r="56" spans="3:15" x14ac:dyDescent="0.25"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</row>
    <row r="57" spans="3:15" x14ac:dyDescent="0.25"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</row>
    <row r="58" spans="3:15" x14ac:dyDescent="0.25"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</row>
    <row r="59" spans="3:15" x14ac:dyDescent="0.25"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</row>
    <row r="60" spans="3:15" x14ac:dyDescent="0.25"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</row>
    <row r="61" spans="3:15" x14ac:dyDescent="0.25"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</row>
    <row r="62" spans="3:15" x14ac:dyDescent="0.25"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</row>
    <row r="63" spans="3:15" x14ac:dyDescent="0.25"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</row>
    <row r="64" spans="3:15" x14ac:dyDescent="0.25"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</row>
    <row r="65" spans="3:15" x14ac:dyDescent="0.25"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</row>
    <row r="66" spans="3:15" x14ac:dyDescent="0.25"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</row>
  </sheetData>
  <pageMargins left="0.7" right="0.7" top="0.78740157499999996" bottom="0.78740157499999996" header="0.3" footer="0.3"/>
  <pageSetup paperSize="9" orientation="portrait" horizontalDpi="0" verticalDpi="0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"/>
  <dimension ref="A1:R50"/>
  <sheetViews>
    <sheetView workbookViewId="0">
      <pane ySplit="2" topLeftCell="A3" activePane="bottomLeft" state="frozen"/>
      <selection pane="bottomLeft" activeCell="S21" sqref="S21"/>
    </sheetView>
  </sheetViews>
  <sheetFormatPr baseColWidth="10" defaultRowHeight="15" x14ac:dyDescent="0.25"/>
  <cols>
    <col min="1" max="1" width="40.140625" customWidth="1"/>
    <col min="2" max="2" width="12.140625" bestFit="1" customWidth="1"/>
    <col min="15" max="15" width="12.42578125" customWidth="1"/>
    <col min="18" max="18" width="14.85546875" customWidth="1"/>
  </cols>
  <sheetData>
    <row r="1" spans="1:18" ht="26.25" x14ac:dyDescent="0.4">
      <c r="A1" s="54" t="s">
        <v>81</v>
      </c>
      <c r="B1" s="133" t="s">
        <v>348</v>
      </c>
      <c r="C1" s="132">
        <f>SUM(C3,C7,C14,C19,C25,C29,C32,C36,C43,C46)</f>
        <v>0</v>
      </c>
      <c r="D1" s="132">
        <f t="shared" ref="D1:O1" si="0">SUM(D3,D7,D14,D19,D25,D29,D32,D36,D43,D46)</f>
        <v>0</v>
      </c>
      <c r="E1" s="132">
        <f t="shared" si="0"/>
        <v>0</v>
      </c>
      <c r="F1" s="132">
        <f t="shared" si="0"/>
        <v>0</v>
      </c>
      <c r="G1" s="132">
        <f t="shared" si="0"/>
        <v>0</v>
      </c>
      <c r="H1" s="132">
        <f t="shared" si="0"/>
        <v>0</v>
      </c>
      <c r="I1" s="132">
        <f t="shared" si="0"/>
        <v>0</v>
      </c>
      <c r="J1" s="132">
        <f t="shared" si="0"/>
        <v>0</v>
      </c>
      <c r="K1" s="132">
        <f t="shared" si="0"/>
        <v>0</v>
      </c>
      <c r="L1" s="132">
        <f t="shared" si="0"/>
        <v>0</v>
      </c>
      <c r="M1" s="132">
        <f t="shared" si="0"/>
        <v>0</v>
      </c>
      <c r="N1" s="132">
        <f t="shared" si="0"/>
        <v>0</v>
      </c>
      <c r="O1" s="132">
        <f t="shared" si="0"/>
        <v>0</v>
      </c>
      <c r="P1" t="s">
        <v>0</v>
      </c>
      <c r="Q1" s="1">
        <f ca="1">TODAY()</f>
        <v>43579</v>
      </c>
      <c r="R1" t="s">
        <v>80</v>
      </c>
    </row>
    <row r="2" spans="1:18" ht="15.75" x14ac:dyDescent="0.25">
      <c r="B2" t="s">
        <v>119</v>
      </c>
      <c r="C2" t="s">
        <v>7</v>
      </c>
      <c r="D2" t="s">
        <v>8</v>
      </c>
      <c r="E2" t="s">
        <v>9</v>
      </c>
      <c r="F2" t="s">
        <v>10</v>
      </c>
      <c r="G2" t="s">
        <v>11</v>
      </c>
      <c r="H2" t="s">
        <v>12</v>
      </c>
      <c r="I2" t="s">
        <v>13</v>
      </c>
      <c r="J2" t="s">
        <v>14</v>
      </c>
      <c r="K2" t="s">
        <v>15</v>
      </c>
      <c r="L2" t="s">
        <v>16</v>
      </c>
      <c r="M2" t="s">
        <v>17</v>
      </c>
      <c r="N2" t="s">
        <v>18</v>
      </c>
      <c r="O2" t="s">
        <v>3</v>
      </c>
      <c r="P2" t="s">
        <v>79</v>
      </c>
      <c r="Q2" s="3">
        <f ca="1">MONTH(Q1)</f>
        <v>4</v>
      </c>
      <c r="R2" s="14">
        <f ca="1">O1/Q2</f>
        <v>0</v>
      </c>
    </row>
    <row r="3" spans="1:18" ht="18.75" x14ac:dyDescent="0.3">
      <c r="A3" s="24" t="s">
        <v>45</v>
      </c>
      <c r="B3" s="11">
        <v>200</v>
      </c>
      <c r="C3" s="9">
        <f t="shared" ref="C3:O3" si="1">SUM(C4:C6)</f>
        <v>0</v>
      </c>
      <c r="D3" s="9">
        <f t="shared" si="1"/>
        <v>0</v>
      </c>
      <c r="E3" s="9">
        <f t="shared" si="1"/>
        <v>0</v>
      </c>
      <c r="F3" s="9">
        <f t="shared" si="1"/>
        <v>0</v>
      </c>
      <c r="G3" s="9">
        <f t="shared" si="1"/>
        <v>0</v>
      </c>
      <c r="H3" s="9">
        <f t="shared" si="1"/>
        <v>0</v>
      </c>
      <c r="I3" s="9">
        <f t="shared" si="1"/>
        <v>0</v>
      </c>
      <c r="J3" s="9">
        <f t="shared" si="1"/>
        <v>0</v>
      </c>
      <c r="K3" s="9">
        <f t="shared" si="1"/>
        <v>0</v>
      </c>
      <c r="L3" s="9">
        <f t="shared" si="1"/>
        <v>0</v>
      </c>
      <c r="M3" s="9">
        <f t="shared" si="1"/>
        <v>0</v>
      </c>
      <c r="N3" s="9">
        <f t="shared" si="1"/>
        <v>0</v>
      </c>
      <c r="O3" s="9">
        <f t="shared" si="1"/>
        <v>0</v>
      </c>
    </row>
    <row r="4" spans="1:18" x14ac:dyDescent="0.25">
      <c r="A4" t="s">
        <v>82</v>
      </c>
      <c r="B4">
        <v>208</v>
      </c>
      <c r="C4" s="4">
        <f>SUMIFS(Ausg._Liste!$H$4:$H$550,Ausg._Liste!$F$4:$F$550,208,Ausg._Liste!$G$4:$G$550,1)</f>
        <v>0</v>
      </c>
      <c r="D4" s="4">
        <f>SUMIFS(Ausg._Liste!$H$4:$H$550,Ausg._Liste!$F$4:$F$550,208,Ausg._Liste!$G$4:$G$550,2)</f>
        <v>0</v>
      </c>
      <c r="E4" s="4">
        <f>SUMIFS(Ausg._Liste!$H$4:$H$550,Ausg._Liste!$F$4:$F$550,208,Ausg._Liste!$G$4:$G$550,3)</f>
        <v>0</v>
      </c>
      <c r="F4" s="4">
        <f>SUMIFS(Ausg._Liste!$H$4:$H$550,Ausg._Liste!$F$4:$F$550,208,Ausg._Liste!$G$4:$G$550,4)</f>
        <v>0</v>
      </c>
      <c r="G4" s="4">
        <f>SUMIFS(Ausg._Liste!$H$4:$H$550,Ausg._Liste!$F$4:$F$550,208,Ausg._Liste!$G$4:$G$550,5)</f>
        <v>0</v>
      </c>
      <c r="H4" s="4">
        <f>SUMIFS(Ausg._Liste!$H$4:$H$550,Ausg._Liste!$F$4:$F$550,208,Ausg._Liste!$G$4:$G$550,6)</f>
        <v>0</v>
      </c>
      <c r="I4" s="4">
        <f>SUMIFS(Ausg._Liste!$H$4:$H$550,Ausg._Liste!$F$4:$F$550,208,Ausg._Liste!$G$4:$G$550,7)</f>
        <v>0</v>
      </c>
      <c r="J4" s="4">
        <f>SUMIFS(Ausg._Liste!$H$4:$H$550,Ausg._Liste!$F$4:$F$550,208,Ausg._Liste!$G$4:$G$550,8)</f>
        <v>0</v>
      </c>
      <c r="K4" s="4">
        <f>SUMIFS(Ausg._Liste!$H$4:$H$550,Ausg._Liste!$F$4:$F$550,208,Ausg._Liste!$G$4:$G$550,9)</f>
        <v>0</v>
      </c>
      <c r="L4" s="4">
        <f>SUMIFS(Ausg._Liste!$H$4:$H$550,Ausg._Liste!$F$4:$F$550,208,Ausg._Liste!$G$4:$G$550,10)</f>
        <v>0</v>
      </c>
      <c r="M4" s="4">
        <f>SUMIFS(Ausg._Liste!$H$4:$H$550,Ausg._Liste!$F$4:$F$550,208,Ausg._Liste!$G$4:$G$550,11)</f>
        <v>0</v>
      </c>
      <c r="N4" s="4">
        <f>SUMIFS(Ausg._Liste!$H$4:$H$550,Ausg._Liste!$F$4:$F$550,208,Ausg._Liste!$G$4:$G$550,12)</f>
        <v>0</v>
      </c>
      <c r="O4" s="4">
        <f>SUM(C4:N4)</f>
        <v>0</v>
      </c>
    </row>
    <row r="5" spans="1:18" x14ac:dyDescent="0.25">
      <c r="A5" t="s">
        <v>83</v>
      </c>
      <c r="B5">
        <v>209</v>
      </c>
      <c r="C5" s="4">
        <f>SUMIFS(Ausg._Liste!$H$4:$H$550,Ausg._Liste!$F$4:$F$550,209,Ausg._Liste!$G$4:$G$550,1)</f>
        <v>0</v>
      </c>
      <c r="D5" s="4">
        <f>SUMIFS(Ausg._Liste!$H$4:$H$550,Ausg._Liste!$F$4:$F$550,209,Ausg._Liste!$G$4:$G$550,2)</f>
        <v>0</v>
      </c>
      <c r="E5" s="4">
        <f>SUMIFS(Ausg._Liste!$H$4:$H$550,Ausg._Liste!$F$4:$F$550,209,Ausg._Liste!$G$4:$G$550,3)</f>
        <v>0</v>
      </c>
      <c r="F5" s="4">
        <f>SUMIFS(Ausg._Liste!$H$4:$H$550,Ausg._Liste!$F$4:$F$550,209,Ausg._Liste!$G$4:$G$550,4)</f>
        <v>0</v>
      </c>
      <c r="G5" s="4">
        <f>SUMIFS(Ausg._Liste!$H$4:$H$550,Ausg._Liste!$F$4:$F$550,209,Ausg._Liste!$G$4:$G$550,5)</f>
        <v>0</v>
      </c>
      <c r="H5" s="4">
        <f>SUMIFS(Ausg._Liste!$H$4:$H$550,Ausg._Liste!$F$4:$F$550,209,Ausg._Liste!$G$4:$G$550,6)</f>
        <v>0</v>
      </c>
      <c r="I5" s="4">
        <f>SUMIFS(Ausg._Liste!$H$4:$H$550,Ausg._Liste!$F$4:$F$550,209,Ausg._Liste!$G$4:$G$550,7)</f>
        <v>0</v>
      </c>
      <c r="J5" s="4">
        <f>SUMIFS(Ausg._Liste!$H$4:$H$550,Ausg._Liste!$F$4:$F$550,209,Ausg._Liste!$G$4:$G$550,8)</f>
        <v>0</v>
      </c>
      <c r="K5" s="4">
        <f>SUMIFS(Ausg._Liste!$H$4:$H$550,Ausg._Liste!$F$4:$F$550,209,Ausg._Liste!$G$4:$G$550,9)</f>
        <v>0</v>
      </c>
      <c r="L5" s="4">
        <f>SUMIFS(Ausg._Liste!$H$4:$H$550,Ausg._Liste!$F$4:$F$550,209,Ausg._Liste!$G$4:$G$550,10)</f>
        <v>0</v>
      </c>
      <c r="M5" s="4">
        <f>SUMIFS(Ausg._Liste!$H$4:$H$550,Ausg._Liste!$F$4:$F$550,209,Ausg._Liste!$G$4:$G$550,11)</f>
        <v>0</v>
      </c>
      <c r="N5" s="4">
        <f>SUMIFS(Ausg._Liste!$H$4:$H$550,Ausg._Liste!$F$4:$F$550,209,Ausg._Liste!$G$4:$G$550,12)</f>
        <v>0</v>
      </c>
      <c r="O5" s="4">
        <f>SUM(C5:N5)</f>
        <v>0</v>
      </c>
    </row>
    <row r="6" spans="1:18" x14ac:dyDescent="0.25">
      <c r="A6" t="s">
        <v>84</v>
      </c>
      <c r="B6">
        <v>210</v>
      </c>
      <c r="C6" s="4">
        <f>SUMIFS(Ausg._Liste!$H$4:$H$550,Ausg._Liste!$F$4:$F$550,210,Ausg._Liste!$G$4:$G$550,1)</f>
        <v>0</v>
      </c>
      <c r="D6" s="4">
        <f>SUMIFS(Ausg._Liste!$H$4:$H$550,Ausg._Liste!$F$4:$F$550,210,Ausg._Liste!$G$4:$G$550,2)</f>
        <v>0</v>
      </c>
      <c r="E6" s="4">
        <f>SUMIFS(Ausg._Liste!$H$4:$H$550,Ausg._Liste!$F$4:$F$550,210,Ausg._Liste!$G$4:$G$550,3)</f>
        <v>0</v>
      </c>
      <c r="F6" s="4">
        <f>SUMIFS(Ausg._Liste!$H$4:$H$550,Ausg._Liste!$F$4:$F$550,210,Ausg._Liste!$G$4:$G$550,4)</f>
        <v>0</v>
      </c>
      <c r="G6" s="4">
        <f>SUMIFS(Ausg._Liste!$H$4:$H$550,Ausg._Liste!$F$4:$F$550,210,Ausg._Liste!$G$4:$G$550,5)</f>
        <v>0</v>
      </c>
      <c r="H6" s="4">
        <f>SUMIFS(Ausg._Liste!$H$4:$H$550,Ausg._Liste!$F$4:$F$550,210,Ausg._Liste!$G$4:$G$550,6)</f>
        <v>0</v>
      </c>
      <c r="I6" s="4">
        <f>SUMIFS(Ausg._Liste!$H$4:$H$550,Ausg._Liste!$F$4:$F$550,210,Ausg._Liste!$G$4:$G$550,7)</f>
        <v>0</v>
      </c>
      <c r="J6" s="4">
        <f>SUMIFS(Ausg._Liste!$H$4:$H$550,Ausg._Liste!$F$4:$F$550,210,Ausg._Liste!$G$4:$G$550,8)</f>
        <v>0</v>
      </c>
      <c r="K6" s="4">
        <f>SUMIFS(Ausg._Liste!$H$4:$H$550,Ausg._Liste!$F$4:$F$550,210,Ausg._Liste!$G$4:$G$550,9)</f>
        <v>0</v>
      </c>
      <c r="L6" s="4">
        <f>SUMIFS(Ausg._Liste!$H$4:$H$550,Ausg._Liste!$F$4:$F$550,210,Ausg._Liste!$G$4:$G$550,10)</f>
        <v>0</v>
      </c>
      <c r="M6" s="4">
        <f>SUMIFS(Ausg._Liste!$H$4:$H$550,Ausg._Liste!$F$4:$F$550,210,Ausg._Liste!$G$4:$G$550,11)</f>
        <v>0</v>
      </c>
      <c r="N6" s="4">
        <f>SUMIFS(Ausg._Liste!$H$4:$H$550,Ausg._Liste!$F$4:$F$550,210,Ausg._Liste!$G$4:$G$550,12)</f>
        <v>0</v>
      </c>
      <c r="O6" s="4">
        <f>SUM(C6:N6)</f>
        <v>0</v>
      </c>
    </row>
    <row r="7" spans="1:18" ht="18.75" x14ac:dyDescent="0.3">
      <c r="A7" s="24" t="s">
        <v>50</v>
      </c>
      <c r="B7" s="11">
        <v>300</v>
      </c>
      <c r="C7" s="9">
        <f>SUM(C8:C13)</f>
        <v>0</v>
      </c>
      <c r="D7" s="9">
        <f t="shared" ref="D7:N7" si="2">SUM(D8:D13)</f>
        <v>0</v>
      </c>
      <c r="E7" s="9">
        <f t="shared" si="2"/>
        <v>0</v>
      </c>
      <c r="F7" s="9">
        <f t="shared" si="2"/>
        <v>0</v>
      </c>
      <c r="G7" s="9">
        <f t="shared" si="2"/>
        <v>0</v>
      </c>
      <c r="H7" s="9">
        <f t="shared" si="2"/>
        <v>0</v>
      </c>
      <c r="I7" s="9">
        <f t="shared" si="2"/>
        <v>0</v>
      </c>
      <c r="J7" s="9">
        <f t="shared" si="2"/>
        <v>0</v>
      </c>
      <c r="K7" s="9">
        <f t="shared" si="2"/>
        <v>0</v>
      </c>
      <c r="L7" s="9">
        <f t="shared" si="2"/>
        <v>0</v>
      </c>
      <c r="M7" s="9">
        <f t="shared" si="2"/>
        <v>0</v>
      </c>
      <c r="N7" s="9">
        <f t="shared" si="2"/>
        <v>0</v>
      </c>
      <c r="O7" s="9">
        <f>SUM(O8:O13)</f>
        <v>0</v>
      </c>
    </row>
    <row r="8" spans="1:18" x14ac:dyDescent="0.25">
      <c r="A8" t="s">
        <v>85</v>
      </c>
      <c r="B8">
        <v>301</v>
      </c>
      <c r="C8" s="4">
        <f>SUMIFS(Ausg._Liste!$H$4:$H$550,Ausg._Liste!$F$4:$F$550,301,Ausg._Liste!$G$4:$G$550,1)</f>
        <v>0</v>
      </c>
      <c r="D8" s="4">
        <f>SUMIFS(Ausg._Liste!$H$4:$H$550,Ausg._Liste!$F$4:$F$550,301,Ausg._Liste!$G$4:$G$550,2)</f>
        <v>0</v>
      </c>
      <c r="E8" s="4">
        <f>SUMIFS(Ausg._Liste!$H$4:$H$550,Ausg._Liste!$F$4:$F$550,301,Ausg._Liste!$G$4:$G$550,3)</f>
        <v>0</v>
      </c>
      <c r="F8" s="4">
        <f>SUMIFS(Ausg._Liste!$H$4:$H$550,Ausg._Liste!$F$4:$F$550,301,Ausg._Liste!$G$4:$G$550,4)</f>
        <v>0</v>
      </c>
      <c r="G8" s="4">
        <f>SUMIFS(Ausg._Liste!$H$4:$H$550,Ausg._Liste!$F$4:$F$550,301,Ausg._Liste!$G$4:$G$550,5)</f>
        <v>0</v>
      </c>
      <c r="H8" s="4">
        <f>SUMIFS(Ausg._Liste!$H$4:$H$550,Ausg._Liste!$F$4:$F$550,301,Ausg._Liste!$G$4:$G$550,6)</f>
        <v>0</v>
      </c>
      <c r="I8" s="4">
        <f>SUMIFS(Ausg._Liste!$H$4:$H$550,Ausg._Liste!$F$4:$F$550,301,Ausg._Liste!$G$4:$G$550,7)</f>
        <v>0</v>
      </c>
      <c r="J8" s="4">
        <f>SUMIFS(Ausg._Liste!$H$4:$H$550,Ausg._Liste!$F$4:$F$550,301,Ausg._Liste!$G$4:$G$550,8)</f>
        <v>0</v>
      </c>
      <c r="K8" s="4">
        <f>SUMIFS(Ausg._Liste!$H$4:$H$550,Ausg._Liste!$F$4:$F$550,301,Ausg._Liste!$G$4:$G$550,9)</f>
        <v>0</v>
      </c>
      <c r="L8" s="4">
        <f>SUMIFS(Ausg._Liste!$H$4:$H$550,Ausg._Liste!$F$4:$F$550,301,Ausg._Liste!$G$4:$G$550,10)</f>
        <v>0</v>
      </c>
      <c r="M8" s="4">
        <f>SUMIFS(Ausg._Liste!$H$4:$H$550,Ausg._Liste!$F$4:$F$550,301,Ausg._Liste!$G$4:$G$550,11)</f>
        <v>0</v>
      </c>
      <c r="N8" s="4">
        <f>SUMIFS(Ausg._Liste!$H$4:$H$550,Ausg._Liste!$F$4:$F$550,301,Ausg._Liste!$G$4:$G$550,12)</f>
        <v>0</v>
      </c>
      <c r="O8" s="4">
        <f t="shared" ref="O8:O13" si="3">SUM(C8:N8)</f>
        <v>0</v>
      </c>
    </row>
    <row r="9" spans="1:18" x14ac:dyDescent="0.25">
      <c r="A9" t="s">
        <v>86</v>
      </c>
      <c r="B9">
        <v>302</v>
      </c>
      <c r="C9" s="4">
        <f>SUMIFS(Ausg._Liste!$H$4:$H$550,Ausg._Liste!$F$4:$F$550,302,Ausg._Liste!$G$4:$G$550,1)</f>
        <v>0</v>
      </c>
      <c r="D9" s="4">
        <f>SUMIFS(Ausg._Liste!$H$4:$H$550,Ausg._Liste!$F$4:$F$550,302,Ausg._Liste!$G$4:$G$550,2)</f>
        <v>0</v>
      </c>
      <c r="E9" s="4">
        <f>SUMIFS(Ausg._Liste!$H$4:$H$550,Ausg._Liste!$F$4:$F$550,302,Ausg._Liste!$G$4:$G$550,3)</f>
        <v>0</v>
      </c>
      <c r="F9" s="4">
        <f>SUMIFS(Ausg._Liste!$H$4:$H$550,Ausg._Liste!$F$4:$F$550,302,Ausg._Liste!$G$4:$G$550,4)</f>
        <v>0</v>
      </c>
      <c r="G9" s="4">
        <f>SUMIFS(Ausg._Liste!$H$4:$H$550,Ausg._Liste!$F$4:$F$550,302,Ausg._Liste!$G$4:$G$550,5)</f>
        <v>0</v>
      </c>
      <c r="H9" s="4">
        <f>SUMIFS(Ausg._Liste!$H$4:$H$550,Ausg._Liste!$F$4:$F$550,302,Ausg._Liste!$G$4:$G$550,6)</f>
        <v>0</v>
      </c>
      <c r="I9" s="4">
        <f>SUMIFS(Ausg._Liste!$H$4:$H$550,Ausg._Liste!$F$4:$F$550,302,Ausg._Liste!$G$4:$G$550,7)</f>
        <v>0</v>
      </c>
      <c r="J9" s="4">
        <f>SUMIFS(Ausg._Liste!$H$4:$H$550,Ausg._Liste!$F$4:$F$550,302,Ausg._Liste!$G$4:$G$550,8)</f>
        <v>0</v>
      </c>
      <c r="K9" s="4">
        <f>SUMIFS(Ausg._Liste!$H$4:$H$550,Ausg._Liste!$F$4:$F$550,302,Ausg._Liste!$G$4:$G$550,9)</f>
        <v>0</v>
      </c>
      <c r="L9" s="4">
        <f>SUMIFS(Ausg._Liste!$H$4:$H$550,Ausg._Liste!$F$4:$F$550,302,Ausg._Liste!$G$4:$G$550,10)</f>
        <v>0</v>
      </c>
      <c r="M9" s="4">
        <f>SUMIFS(Ausg._Liste!$H$4:$H$550,Ausg._Liste!$F$4:$F$550,302,Ausg._Liste!$G$4:$G$550,11)</f>
        <v>0</v>
      </c>
      <c r="N9" s="4">
        <f>SUMIFS(Ausg._Liste!$H$4:$H$550,Ausg._Liste!$F$4:$F$550,302,Ausg._Liste!$G$4:$G$550,12)</f>
        <v>0</v>
      </c>
      <c r="O9" s="4">
        <f t="shared" si="3"/>
        <v>0</v>
      </c>
    </row>
    <row r="10" spans="1:18" x14ac:dyDescent="0.25">
      <c r="A10" t="s">
        <v>87</v>
      </c>
      <c r="B10">
        <v>303</v>
      </c>
      <c r="C10" s="4">
        <f>SUMIFS(Ausg._Liste!$H$4:$H$550,Ausg._Liste!$F$4:$F$550,303,Ausg._Liste!$G$4:$G$550,1)</f>
        <v>0</v>
      </c>
      <c r="D10" s="4">
        <f>SUMIFS(Ausg._Liste!$H$4:$H$550,Ausg._Liste!$F$4:$F$550,303,Ausg._Liste!$G$4:$G$550,2)</f>
        <v>0</v>
      </c>
      <c r="E10" s="4">
        <f>SUMIFS(Ausg._Liste!$H$4:$H$550,Ausg._Liste!$F$4:$F$550,303,Ausg._Liste!$G$4:$G$550,3)</f>
        <v>0</v>
      </c>
      <c r="F10" s="4">
        <f>SUMIFS(Ausg._Liste!$H$4:$H$550,Ausg._Liste!$F$4:$F$550,303,Ausg._Liste!$G$4:$G$550,4)</f>
        <v>0</v>
      </c>
      <c r="G10" s="4">
        <f>SUMIFS(Ausg._Liste!$H$4:$H$550,Ausg._Liste!$F$4:$F$550,303,Ausg._Liste!$G$4:$G$550,5)</f>
        <v>0</v>
      </c>
      <c r="H10" s="4">
        <f>SUMIFS(Ausg._Liste!$H$4:$H$550,Ausg._Liste!$F$4:$F$550,303,Ausg._Liste!$G$4:$G$550,6)</f>
        <v>0</v>
      </c>
      <c r="I10" s="4">
        <f>SUMIFS(Ausg._Liste!$H$4:$H$550,Ausg._Liste!$F$4:$F$550,303,Ausg._Liste!$G$4:$G$550,7)</f>
        <v>0</v>
      </c>
      <c r="J10" s="4">
        <f>SUMIFS(Ausg._Liste!$H$4:$H$550,Ausg._Liste!$F$4:$F$550,303,Ausg._Liste!$G$4:$G$550,8)</f>
        <v>0</v>
      </c>
      <c r="K10" s="4">
        <f>SUMIFS(Ausg._Liste!$H$4:$H$550,Ausg._Liste!$F$4:$F$550,303,Ausg._Liste!$G$4:$G$550,9)</f>
        <v>0</v>
      </c>
      <c r="L10" s="4">
        <f>SUMIFS(Ausg._Liste!$H$4:$H$550,Ausg._Liste!$F$4:$F$550,303,Ausg._Liste!$G$4:$G$550,10)</f>
        <v>0</v>
      </c>
      <c r="M10" s="4">
        <f>SUMIFS(Ausg._Liste!$H$4:$H$550,Ausg._Liste!$F$4:$F$550,303,Ausg._Liste!$G$4:$G$550,11)</f>
        <v>0</v>
      </c>
      <c r="N10" s="4">
        <f>SUMIFS(Ausg._Liste!$H$4:$H$550,Ausg._Liste!$F$4:$F$550,303,Ausg._Liste!$G$4:$G$550,12)</f>
        <v>0</v>
      </c>
      <c r="O10" s="4">
        <f t="shared" si="3"/>
        <v>0</v>
      </c>
    </row>
    <row r="11" spans="1:18" x14ac:dyDescent="0.25">
      <c r="A11" t="s">
        <v>88</v>
      </c>
      <c r="B11">
        <v>304</v>
      </c>
      <c r="C11" s="4">
        <f>SUMIFS(Ausg._Liste!$H$4:$H$550,Ausg._Liste!$F$4:$F$550,304,Ausg._Liste!$G$4:$G$550,1)</f>
        <v>0</v>
      </c>
      <c r="D11" s="4">
        <f>SUMIFS(Ausg._Liste!$H$4:$H$550,Ausg._Liste!$F$4:$F$550,304,Ausg._Liste!$G$4:$G$550,2)</f>
        <v>0</v>
      </c>
      <c r="E11" s="4">
        <f>SUMIFS(Ausg._Liste!$H$4:$H$550,Ausg._Liste!$F$4:$F$550,304,Ausg._Liste!$G$4:$G$550,3)</f>
        <v>0</v>
      </c>
      <c r="F11" s="4">
        <f>SUMIFS(Ausg._Liste!$H$4:$H$550,Ausg._Liste!$F$4:$F$550,304,Ausg._Liste!$G$4:$G$550,4)</f>
        <v>0</v>
      </c>
      <c r="G11" s="4">
        <f>SUMIFS(Ausg._Liste!$H$4:$H$550,Ausg._Liste!$F$4:$F$550,304,Ausg._Liste!$G$4:$G$550,5)</f>
        <v>0</v>
      </c>
      <c r="H11" s="4">
        <f>SUMIFS(Ausg._Liste!$H$4:$H$550,Ausg._Liste!$F$4:$F$550,304,Ausg._Liste!$G$4:$G$550,6)</f>
        <v>0</v>
      </c>
      <c r="I11" s="4">
        <f>SUMIFS(Ausg._Liste!$H$4:$H$550,Ausg._Liste!$F$4:$F$550,304,Ausg._Liste!$G$4:$G$550,7)</f>
        <v>0</v>
      </c>
      <c r="J11" s="4">
        <f>SUMIFS(Ausg._Liste!$H$4:$H$550,Ausg._Liste!$F$4:$F$550,304,Ausg._Liste!$G$4:$G$550,8)</f>
        <v>0</v>
      </c>
      <c r="K11" s="4">
        <f>SUMIFS(Ausg._Liste!$H$4:$H$550,Ausg._Liste!$F$4:$F$550,304,Ausg._Liste!$G$4:$G$550,9)</f>
        <v>0</v>
      </c>
      <c r="L11" s="4">
        <f>SUMIFS(Ausg._Liste!$H$4:$H$550,Ausg._Liste!$F$4:$F$550,304,Ausg._Liste!$G$4:$G$550,10)</f>
        <v>0</v>
      </c>
      <c r="M11" s="4">
        <f>SUMIFS(Ausg._Liste!$H$4:$H$550,Ausg._Liste!$F$4:$F$550,304,Ausg._Liste!$G$4:$G$550,11)</f>
        <v>0</v>
      </c>
      <c r="N11" s="4">
        <f>SUMIFS(Ausg._Liste!$H$4:$H$550,Ausg._Liste!$F$4:$F$550,304,Ausg._Liste!$G$4:$G$550,12)</f>
        <v>0</v>
      </c>
      <c r="O11" s="4">
        <f t="shared" si="3"/>
        <v>0</v>
      </c>
    </row>
    <row r="12" spans="1:18" x14ac:dyDescent="0.25">
      <c r="A12" t="s">
        <v>89</v>
      </c>
      <c r="B12">
        <v>305</v>
      </c>
      <c r="C12" s="4">
        <f>SUMIFS(Ausg._Liste!$H$4:$H$550,Ausg._Liste!$F$4:$F$550,305,Ausg._Liste!$G$4:$G$550,1)</f>
        <v>0</v>
      </c>
      <c r="D12" s="4">
        <f>SUMIFS(Ausg._Liste!$H$4:$H$550,Ausg._Liste!$F$4:$F$550,305,Ausg._Liste!$G$4:$G$550,2)</f>
        <v>0</v>
      </c>
      <c r="E12" s="4">
        <f>SUMIFS(Ausg._Liste!$H$4:$H$550,Ausg._Liste!$F$4:$F$550,305,Ausg._Liste!$G$4:$G$550,3)</f>
        <v>0</v>
      </c>
      <c r="F12" s="4">
        <f>SUMIFS(Ausg._Liste!$H$4:$H$550,Ausg._Liste!$F$4:$F$550,305,Ausg._Liste!$G$4:$G$550,4)</f>
        <v>0</v>
      </c>
      <c r="G12" s="4">
        <f>SUMIFS(Ausg._Liste!$H$4:$H$550,Ausg._Liste!$F$4:$F$550,305,Ausg._Liste!$G$4:$G$550,5)</f>
        <v>0</v>
      </c>
      <c r="H12" s="4">
        <f>SUMIFS(Ausg._Liste!$H$4:$H$550,Ausg._Liste!$F$4:$F$550,305,Ausg._Liste!$G$4:$G$550,6)</f>
        <v>0</v>
      </c>
      <c r="I12" s="4">
        <f>SUMIFS(Ausg._Liste!$H$4:$H$550,Ausg._Liste!$F$4:$F$550,305,Ausg._Liste!$G$4:$G$550,7)</f>
        <v>0</v>
      </c>
      <c r="J12" s="4">
        <f>SUMIFS(Ausg._Liste!$H$4:$H$550,Ausg._Liste!$F$4:$F$550,305,Ausg._Liste!$G$4:$G$550,8)</f>
        <v>0</v>
      </c>
      <c r="K12" s="4">
        <f>SUMIFS(Ausg._Liste!$H$4:$H$550,Ausg._Liste!$F$4:$F$550,305,Ausg._Liste!$G$4:$G$550,9)</f>
        <v>0</v>
      </c>
      <c r="L12" s="4">
        <f>SUMIFS(Ausg._Liste!$H$4:$H$550,Ausg._Liste!$F$4:$F$550,305,Ausg._Liste!$G$4:$G$550,10)</f>
        <v>0</v>
      </c>
      <c r="M12" s="4">
        <f>SUMIFS(Ausg._Liste!$H$4:$H$550,Ausg._Liste!$F$4:$F$550,305,Ausg._Liste!$G$4:$G$550,11)</f>
        <v>0</v>
      </c>
      <c r="N12" s="4">
        <f>SUMIFS(Ausg._Liste!$H$4:$H$550,Ausg._Liste!$F$4:$F$550,305,Ausg._Liste!$G$4:$G$550,12)</f>
        <v>0</v>
      </c>
      <c r="O12" s="4">
        <f t="shared" si="3"/>
        <v>0</v>
      </c>
    </row>
    <row r="13" spans="1:18" x14ac:dyDescent="0.25">
      <c r="A13" t="s">
        <v>90</v>
      </c>
      <c r="B13">
        <v>306</v>
      </c>
      <c r="C13" s="4">
        <f>SUMIFS(Ausg._Liste!$H$4:$H$550,Ausg._Liste!$F$4:$F$550,306,Ausg._Liste!$G$4:$G$550,1)</f>
        <v>0</v>
      </c>
      <c r="D13" s="4">
        <f>SUMIFS(Ausg._Liste!$H$4:$H$550,Ausg._Liste!$F$4:$F$550,306,Ausg._Liste!$G$4:$G$550,2)</f>
        <v>0</v>
      </c>
      <c r="E13" s="4">
        <f>SUMIFS(Ausg._Liste!$H$4:$H$550,Ausg._Liste!$F$4:$F$550,306,Ausg._Liste!$G$4:$G$550,3)</f>
        <v>0</v>
      </c>
      <c r="F13" s="4">
        <f>SUMIFS(Ausg._Liste!$H$4:$H$550,Ausg._Liste!$F$4:$F$550,306,Ausg._Liste!$G$4:$G$550,4)</f>
        <v>0</v>
      </c>
      <c r="G13" s="4">
        <f>SUMIFS(Ausg._Liste!$H$4:$H$550,Ausg._Liste!$F$4:$F$550,306,Ausg._Liste!$G$4:$G$550,5)</f>
        <v>0</v>
      </c>
      <c r="H13" s="4">
        <f>SUMIFS(Ausg._Liste!$H$4:$H$550,Ausg._Liste!$F$4:$F$550,306,Ausg._Liste!$G$4:$G$550,6)</f>
        <v>0</v>
      </c>
      <c r="I13" s="4">
        <f>SUMIFS(Ausg._Liste!$H$4:$H$550,Ausg._Liste!$F$4:$F$550,306,Ausg._Liste!$G$4:$G$550,7)</f>
        <v>0</v>
      </c>
      <c r="J13" s="4">
        <f>SUMIFS(Ausg._Liste!$H$4:$H$550,Ausg._Liste!$F$4:$F$550,306,Ausg._Liste!$G$4:$G$550,8)</f>
        <v>0</v>
      </c>
      <c r="K13" s="4">
        <f>SUMIFS(Ausg._Liste!$H$4:$H$550,Ausg._Liste!$F$4:$F$550,306,Ausg._Liste!$G$4:$G$550,9)</f>
        <v>0</v>
      </c>
      <c r="L13" s="4">
        <f>SUMIFS(Ausg._Liste!$H$4:$H$550,Ausg._Liste!$F$4:$F$550,306,Ausg._Liste!$G$4:$G$550,10)</f>
        <v>0</v>
      </c>
      <c r="M13" s="4">
        <f>SUMIFS(Ausg._Liste!$H$4:$H$550,Ausg._Liste!$F$4:$F$550,306,Ausg._Liste!$G$4:$G$550,11)</f>
        <v>0</v>
      </c>
      <c r="N13" s="4">
        <f>SUMIFS(Ausg._Liste!$H$4:$H$550,Ausg._Liste!$F$4:$F$550,306,Ausg._Liste!$G$4:$G$550,12)</f>
        <v>0</v>
      </c>
      <c r="O13" s="4">
        <f t="shared" si="3"/>
        <v>0</v>
      </c>
    </row>
    <row r="14" spans="1:18" ht="18.75" x14ac:dyDescent="0.3">
      <c r="A14" s="24" t="s">
        <v>91</v>
      </c>
      <c r="B14" s="11">
        <v>400</v>
      </c>
      <c r="C14" s="9">
        <f>SUM(C15:C18)</f>
        <v>0</v>
      </c>
      <c r="D14" s="9">
        <f t="shared" ref="D14:N14" si="4">SUM(D15:D18)</f>
        <v>0</v>
      </c>
      <c r="E14" s="9">
        <f t="shared" si="4"/>
        <v>0</v>
      </c>
      <c r="F14" s="9">
        <f t="shared" si="4"/>
        <v>0</v>
      </c>
      <c r="G14" s="9">
        <f t="shared" si="4"/>
        <v>0</v>
      </c>
      <c r="H14" s="9">
        <f t="shared" si="4"/>
        <v>0</v>
      </c>
      <c r="I14" s="9">
        <f t="shared" si="4"/>
        <v>0</v>
      </c>
      <c r="J14" s="9">
        <f t="shared" si="4"/>
        <v>0</v>
      </c>
      <c r="K14" s="9">
        <f t="shared" si="4"/>
        <v>0</v>
      </c>
      <c r="L14" s="9">
        <f t="shared" si="4"/>
        <v>0</v>
      </c>
      <c r="M14" s="9">
        <f t="shared" si="4"/>
        <v>0</v>
      </c>
      <c r="N14" s="9">
        <f t="shared" si="4"/>
        <v>0</v>
      </c>
      <c r="O14" s="9">
        <f>SUM(O15:O18)</f>
        <v>0</v>
      </c>
    </row>
    <row r="15" spans="1:18" x14ac:dyDescent="0.25">
      <c r="A15" t="s">
        <v>92</v>
      </c>
      <c r="B15">
        <v>401</v>
      </c>
      <c r="C15" s="4">
        <f>SUMIFS(Ausg._Liste!$H$4:$H$550,Ausg._Liste!$F$4:$F$550,401,Ausg._Liste!$G$4:$G$550,1)</f>
        <v>0</v>
      </c>
      <c r="D15" s="4">
        <f>SUMIFS(Ausg._Liste!$H$4:$H$550,Ausg._Liste!$F$4:$F$550,401,Ausg._Liste!$G$4:$G$550,2)</f>
        <v>0</v>
      </c>
      <c r="E15" s="4">
        <f>SUMIFS(Ausg._Liste!$H$4:$H$550,Ausg._Liste!$F$4:$F$550,401,Ausg._Liste!$G$4:$G$550,3)</f>
        <v>0</v>
      </c>
      <c r="F15" s="4">
        <f>SUMIFS(Ausg._Liste!$H$4:$H$550,Ausg._Liste!$F$4:$F$550,401,Ausg._Liste!$G$4:$G$550,4)</f>
        <v>0</v>
      </c>
      <c r="G15" s="4">
        <f>SUMIFS(Ausg._Liste!$H$4:$H$550,Ausg._Liste!$F$4:$F$550,401,Ausg._Liste!$G$4:$G$550,5)</f>
        <v>0</v>
      </c>
      <c r="H15" s="4">
        <f>SUMIFS(Ausg._Liste!$H$4:$H$550,Ausg._Liste!$F$4:$F$550,401,Ausg._Liste!$G$4:$G$550,6)</f>
        <v>0</v>
      </c>
      <c r="I15" s="4">
        <f>SUMIFS(Ausg._Liste!$H$4:$H$550,Ausg._Liste!$F$4:$F$550,401,Ausg._Liste!$G$4:$G$550,7)</f>
        <v>0</v>
      </c>
      <c r="J15" s="4">
        <f>SUMIFS(Ausg._Liste!$H$4:$H$550,Ausg._Liste!$F$4:$F$550,401,Ausg._Liste!$G$4:$G$550,8)</f>
        <v>0</v>
      </c>
      <c r="K15" s="4">
        <f>SUMIFS(Ausg._Liste!$H$4:$H$550,Ausg._Liste!$F$4:$F$550,401,Ausg._Liste!$G$4:$G$550,9)</f>
        <v>0</v>
      </c>
      <c r="L15" s="4">
        <f>SUMIFS(Ausg._Liste!$H$4:$H$550,Ausg._Liste!$F$4:$F$550,401,Ausg._Liste!$G$4:$G$550,10)</f>
        <v>0</v>
      </c>
      <c r="M15" s="4">
        <f>SUMIFS(Ausg._Liste!$H$4:$H$550,Ausg._Liste!$F$4:$F$550,401,Ausg._Liste!$G$4:$G$550,11)</f>
        <v>0</v>
      </c>
      <c r="N15" s="4">
        <f>SUMIFS(Ausg._Liste!$H$4:$H$550,Ausg._Liste!$F$4:$F$550,401,Ausg._Liste!$G$4:$G$550,12)</f>
        <v>0</v>
      </c>
      <c r="O15" s="4">
        <f>SUM(C15:N15)</f>
        <v>0</v>
      </c>
    </row>
    <row r="16" spans="1:18" x14ac:dyDescent="0.25">
      <c r="A16" t="s">
        <v>93</v>
      </c>
      <c r="B16">
        <v>402</v>
      </c>
      <c r="C16" s="4">
        <f>SUMIFS(Ausg._Liste!$H$4:$H$550,Ausg._Liste!$F$4:$F$550,402,Ausg._Liste!$G$4:$G$550,1)</f>
        <v>0</v>
      </c>
      <c r="D16" s="4">
        <f>SUMIFS(Ausg._Liste!$H$4:$H$550,Ausg._Liste!$F$4:$F$550,402,Ausg._Liste!$G$4:$G$550,2)</f>
        <v>0</v>
      </c>
      <c r="E16" s="4">
        <f>SUMIFS(Ausg._Liste!$H$4:$H$550,Ausg._Liste!$F$4:$F$550,402,Ausg._Liste!$G$4:$G$550,3)</f>
        <v>0</v>
      </c>
      <c r="F16" s="4">
        <f>SUMIFS(Ausg._Liste!$H$4:$H$550,Ausg._Liste!$F$4:$F$550,402,Ausg._Liste!$G$4:$G$550,4)</f>
        <v>0</v>
      </c>
      <c r="G16" s="4">
        <f>SUMIFS(Ausg._Liste!$H$4:$H$550,Ausg._Liste!$F$4:$F$550,402,Ausg._Liste!$G$4:$G$550,5)</f>
        <v>0</v>
      </c>
      <c r="H16" s="4">
        <f>SUMIFS(Ausg._Liste!$H$4:$H$550,Ausg._Liste!$F$4:$F$550,402,Ausg._Liste!$G$4:$G$550,6)</f>
        <v>0</v>
      </c>
      <c r="I16" s="4">
        <f>SUMIFS(Ausg._Liste!$H$4:$H$550,Ausg._Liste!$F$4:$F$550,402,Ausg._Liste!$G$4:$G$550,7)</f>
        <v>0</v>
      </c>
      <c r="J16" s="4">
        <f>SUMIFS(Ausg._Liste!$H$4:$H$550,Ausg._Liste!$F$4:$F$550,402,Ausg._Liste!$G$4:$G$550,8)</f>
        <v>0</v>
      </c>
      <c r="K16" s="4">
        <f>SUMIFS(Ausg._Liste!$H$4:$H$550,Ausg._Liste!$F$4:$F$550,402,Ausg._Liste!$G$4:$G$550,9)</f>
        <v>0</v>
      </c>
      <c r="L16" s="4">
        <f>SUMIFS(Ausg._Liste!$H$4:$H$550,Ausg._Liste!$F$4:$F$550,402,Ausg._Liste!$G$4:$G$550,10)</f>
        <v>0</v>
      </c>
      <c r="M16" s="4">
        <f>SUMIFS(Ausg._Liste!$H$4:$H$550,Ausg._Liste!$F$4:$F$550,402,Ausg._Liste!$G$4:$G$550,11)</f>
        <v>0</v>
      </c>
      <c r="N16" s="4">
        <f>SUMIFS(Ausg._Liste!$H$4:$H$550,Ausg._Liste!$F$4:$F$550,402,Ausg._Liste!$G$4:$G$550,12)</f>
        <v>0</v>
      </c>
      <c r="O16" s="4">
        <f>SUM(C16:N16)</f>
        <v>0</v>
      </c>
    </row>
    <row r="17" spans="1:15" x14ac:dyDescent="0.25">
      <c r="A17" t="s">
        <v>94</v>
      </c>
      <c r="B17">
        <v>403</v>
      </c>
      <c r="C17" s="4">
        <f>SUMIFS(Ausg._Liste!$H$4:$H$550,Ausg._Liste!$F$4:$F$550,403,Ausg._Liste!$G$4:$G$550,1)</f>
        <v>0</v>
      </c>
      <c r="D17" s="4">
        <f>SUMIFS(Ausg._Liste!$H$4:$H$550,Ausg._Liste!$F$4:$F$550,403,Ausg._Liste!$G$4:$G$550,2)</f>
        <v>0</v>
      </c>
      <c r="E17" s="4">
        <f>SUMIFS(Ausg._Liste!$H$4:$H$550,Ausg._Liste!$F$4:$F$550,403,Ausg._Liste!$G$4:$G$550,3)</f>
        <v>0</v>
      </c>
      <c r="F17" s="4">
        <f>SUMIFS(Ausg._Liste!$H$4:$H$550,Ausg._Liste!$F$4:$F$550,403,Ausg._Liste!$G$4:$G$550,4)</f>
        <v>0</v>
      </c>
      <c r="G17" s="4">
        <f>SUMIFS(Ausg._Liste!$H$4:$H$550,Ausg._Liste!$F$4:$F$550,403,Ausg._Liste!$G$4:$G$550,5)</f>
        <v>0</v>
      </c>
      <c r="H17" s="4">
        <f>SUMIFS(Ausg._Liste!$H$4:$H$550,Ausg._Liste!$F$4:$F$550,403,Ausg._Liste!$G$4:$G$550,6)</f>
        <v>0</v>
      </c>
      <c r="I17" s="4">
        <f>SUMIFS(Ausg._Liste!$H$4:$H$550,Ausg._Liste!$F$4:$F$550,403,Ausg._Liste!$G$4:$G$550,7)</f>
        <v>0</v>
      </c>
      <c r="J17" s="4">
        <f>SUMIFS(Ausg._Liste!$H$4:$H$550,Ausg._Liste!$F$4:$F$550,403,Ausg._Liste!$G$4:$G$550,8)</f>
        <v>0</v>
      </c>
      <c r="K17" s="4">
        <f>SUMIFS(Ausg._Liste!$H$4:$H$550,Ausg._Liste!$F$4:$F$550,403,Ausg._Liste!$G$4:$G$550,9)</f>
        <v>0</v>
      </c>
      <c r="L17" s="4">
        <f>SUMIFS(Ausg._Liste!$H$4:$H$550,Ausg._Liste!$F$4:$F$550,403,Ausg._Liste!$G$4:$G$550,10)</f>
        <v>0</v>
      </c>
      <c r="M17" s="4">
        <f>SUMIFS(Ausg._Liste!$H$4:$H$550,Ausg._Liste!$F$4:$F$550,403,Ausg._Liste!$G$4:$G$550,11)</f>
        <v>0</v>
      </c>
      <c r="N17" s="4">
        <f>SUMIFS(Ausg._Liste!$H$4:$H$550,Ausg._Liste!$F$4:$F$550,403,Ausg._Liste!$G$4:$G$550,12)</f>
        <v>0</v>
      </c>
      <c r="O17" s="4">
        <f>SUM(C17:N17)</f>
        <v>0</v>
      </c>
    </row>
    <row r="18" spans="1:15" x14ac:dyDescent="0.25">
      <c r="A18" t="s">
        <v>135</v>
      </c>
      <c r="B18">
        <v>404</v>
      </c>
      <c r="C18" s="4">
        <f>SUMIFS(Ausg._Liste!$H$4:$H$550,Ausg._Liste!$F$4:$F$550,404,Ausg._Liste!$G$4:$G$550,1)</f>
        <v>0</v>
      </c>
      <c r="D18" s="4">
        <f>SUMIFS(Ausg._Liste!$H$4:$H$550,Ausg._Liste!$F$4:$F$550,404,Ausg._Liste!$G$4:$G$550,2)</f>
        <v>0</v>
      </c>
      <c r="E18" s="4">
        <f>SUMIFS(Ausg._Liste!$H$4:$H$550,Ausg._Liste!$F$4:$F$550,404,Ausg._Liste!$G$4:$G$550,3)</f>
        <v>0</v>
      </c>
      <c r="F18" s="4">
        <f>SUMIFS(Ausg._Liste!$H$4:$H$550,Ausg._Liste!$F$4:$F$550,404,Ausg._Liste!$G$4:$G$550,4)</f>
        <v>0</v>
      </c>
      <c r="G18" s="4">
        <f>SUMIFS(Ausg._Liste!$H$4:$H$550,Ausg._Liste!$F$4:$F$550,404,Ausg._Liste!$G$4:$G$550,5)</f>
        <v>0</v>
      </c>
      <c r="H18" s="4">
        <f>SUMIFS(Ausg._Liste!$H$4:$H$550,Ausg._Liste!$F$4:$F$550,404,Ausg._Liste!$G$4:$G$550,6)</f>
        <v>0</v>
      </c>
      <c r="I18" s="4">
        <f>SUMIFS(Ausg._Liste!$H$4:$H$550,Ausg._Liste!$F$4:$F$550,404,Ausg._Liste!$G$4:$G$550,7)</f>
        <v>0</v>
      </c>
      <c r="J18" s="4">
        <f>SUMIFS(Ausg._Liste!$H$4:$H$550,Ausg._Liste!$F$4:$F$550,404,Ausg._Liste!$G$4:$G$550,8)</f>
        <v>0</v>
      </c>
      <c r="K18" s="4">
        <f>SUMIFS(Ausg._Liste!$H$4:$H$550,Ausg._Liste!$F$4:$F$550,404,Ausg._Liste!$G$4:$G$550,9)</f>
        <v>0</v>
      </c>
      <c r="L18" s="4">
        <f>SUMIFS(Ausg._Liste!$H$4:$H$550,Ausg._Liste!$F$4:$F$550,404,Ausg._Liste!$G$4:$G$550,10)</f>
        <v>0</v>
      </c>
      <c r="M18" s="4">
        <f>SUMIFS(Ausg._Liste!$H$4:$H$550,Ausg._Liste!$F$4:$F$550,404,Ausg._Liste!$G$4:$G$550,11)</f>
        <v>0</v>
      </c>
      <c r="N18" s="4">
        <f>SUMIFS(Ausg._Liste!$H$4:$H$550,Ausg._Liste!$F$4:$F$550,404,Ausg._Liste!$G$4:$G$550,12)</f>
        <v>0</v>
      </c>
      <c r="O18" s="4">
        <f>SUM(C18:N18)</f>
        <v>0</v>
      </c>
    </row>
    <row r="19" spans="1:15" ht="18.75" x14ac:dyDescent="0.3">
      <c r="A19" s="24" t="s">
        <v>95</v>
      </c>
      <c r="B19" s="11">
        <v>500</v>
      </c>
      <c r="C19" s="9">
        <f>SUM(C20:C24)</f>
        <v>0</v>
      </c>
      <c r="D19" s="9">
        <f t="shared" ref="D19:N19" si="5">SUM(D20:D24)</f>
        <v>0</v>
      </c>
      <c r="E19" s="9">
        <f t="shared" si="5"/>
        <v>0</v>
      </c>
      <c r="F19" s="9">
        <f t="shared" si="5"/>
        <v>0</v>
      </c>
      <c r="G19" s="9">
        <f t="shared" si="5"/>
        <v>0</v>
      </c>
      <c r="H19" s="9">
        <f t="shared" si="5"/>
        <v>0</v>
      </c>
      <c r="I19" s="9">
        <f t="shared" si="5"/>
        <v>0</v>
      </c>
      <c r="J19" s="9">
        <f t="shared" si="5"/>
        <v>0</v>
      </c>
      <c r="K19" s="9">
        <f t="shared" si="5"/>
        <v>0</v>
      </c>
      <c r="L19" s="9">
        <f t="shared" si="5"/>
        <v>0</v>
      </c>
      <c r="M19" s="9">
        <f t="shared" si="5"/>
        <v>0</v>
      </c>
      <c r="N19" s="9">
        <f t="shared" si="5"/>
        <v>0</v>
      </c>
      <c r="O19" s="9">
        <f>SUM(O20:O24)</f>
        <v>0</v>
      </c>
    </row>
    <row r="20" spans="1:15" x14ac:dyDescent="0.25">
      <c r="A20" t="s">
        <v>96</v>
      </c>
      <c r="B20">
        <v>501</v>
      </c>
      <c r="C20" s="4">
        <f>SUMIFS(Ausg._Liste!$H$4:$H$550,Ausg._Liste!$F$4:$F$550,501,Ausg._Liste!$G$4:$G$550,1)</f>
        <v>0</v>
      </c>
      <c r="D20" s="4">
        <f>SUMIFS(Ausg._Liste!$H$4:$H$550,Ausg._Liste!$F$4:$F$550,501,Ausg._Liste!$G$4:$G$550,2)</f>
        <v>0</v>
      </c>
      <c r="E20" s="4">
        <f>SUMIFS(Ausg._Liste!$H$4:$H$550,Ausg._Liste!$F$4:$F$550,501,Ausg._Liste!$G$4:$G$550,3)</f>
        <v>0</v>
      </c>
      <c r="F20" s="4">
        <f>SUMIFS(Ausg._Liste!$H$4:$H$550,Ausg._Liste!$F$4:$F$550,501,Ausg._Liste!$G$4:$G$550,4)</f>
        <v>0</v>
      </c>
      <c r="G20" s="4">
        <f>SUMIFS(Ausg._Liste!$H$4:$H$550,Ausg._Liste!$F$4:$F$550,501,Ausg._Liste!$G$4:$G$550,5)</f>
        <v>0</v>
      </c>
      <c r="H20" s="4">
        <f>SUMIFS(Ausg._Liste!$H$4:$H$550,Ausg._Liste!$F$4:$F$550,501,Ausg._Liste!$G$4:$G$550,6)</f>
        <v>0</v>
      </c>
      <c r="I20" s="4">
        <f>SUMIFS(Ausg._Liste!$H$4:$H$550,Ausg._Liste!$F$4:$F$550,501,Ausg._Liste!$G$4:$G$550,7)</f>
        <v>0</v>
      </c>
      <c r="J20" s="4">
        <f>SUMIFS(Ausg._Liste!$H$4:$H$550,Ausg._Liste!$F$4:$F$550,501,Ausg._Liste!$G$4:$G$550,8)</f>
        <v>0</v>
      </c>
      <c r="K20" s="4">
        <f>SUMIFS(Ausg._Liste!$H$4:$H$550,Ausg._Liste!$F$4:$F$550,501,Ausg._Liste!$G$4:$G$550,9)</f>
        <v>0</v>
      </c>
      <c r="L20" s="4">
        <f>SUMIFS(Ausg._Liste!$H$4:$H$550,Ausg._Liste!$F$4:$F$550,501,Ausg._Liste!$G$4:$G$550,10)</f>
        <v>0</v>
      </c>
      <c r="M20" s="4">
        <f>SUMIFS(Ausg._Liste!$H$4:$H$550,Ausg._Liste!$F$4:$F$550,501,Ausg._Liste!$G$4:$G$550,11)</f>
        <v>0</v>
      </c>
      <c r="N20" s="4">
        <f>SUMIFS(Ausg._Liste!$H$4:$H$550,Ausg._Liste!$F$4:$F$550,501,Ausg._Liste!$G$4:$G$550,12)</f>
        <v>0</v>
      </c>
      <c r="O20" s="4">
        <f>SUM(C20:N20)</f>
        <v>0</v>
      </c>
    </row>
    <row r="21" spans="1:15" x14ac:dyDescent="0.25">
      <c r="A21" t="s">
        <v>97</v>
      </c>
      <c r="B21">
        <v>502</v>
      </c>
      <c r="C21" s="4">
        <f>SUMIFS(Ausg._Liste!$H$4:$H$550,Ausg._Liste!$F$4:$F$550,502,Ausg._Liste!$G$4:$G$550,1)</f>
        <v>0</v>
      </c>
      <c r="D21" s="4">
        <f>SUMIFS(Ausg._Liste!$H$4:$H$550,Ausg._Liste!$F$4:$F$550,502,Ausg._Liste!$G$4:$G$550,2)</f>
        <v>0</v>
      </c>
      <c r="E21" s="4">
        <f>SUMIFS(Ausg._Liste!$H$4:$H$550,Ausg._Liste!$F$4:$F$550,502,Ausg._Liste!$G$4:$G$550,3)</f>
        <v>0</v>
      </c>
      <c r="F21" s="4">
        <f>SUMIFS(Ausg._Liste!$H$4:$H$550,Ausg._Liste!$F$4:$F$550,502,Ausg._Liste!$G$4:$G$550,4)</f>
        <v>0</v>
      </c>
      <c r="G21" s="4">
        <f>SUMIFS(Ausg._Liste!$H$4:$H$550,Ausg._Liste!$F$4:$F$550,502,Ausg._Liste!$G$4:$G$550,5)</f>
        <v>0</v>
      </c>
      <c r="H21" s="4">
        <f>SUMIFS(Ausg._Liste!$H$4:$H$550,Ausg._Liste!$F$4:$F$550,502,Ausg._Liste!$G$4:$G$550,6)</f>
        <v>0</v>
      </c>
      <c r="I21" s="4">
        <f>SUMIFS(Ausg._Liste!$H$4:$H$550,Ausg._Liste!$F$4:$F$550,502,Ausg._Liste!$G$4:$G$550,7)</f>
        <v>0</v>
      </c>
      <c r="J21" s="4">
        <f>SUMIFS(Ausg._Liste!$H$4:$H$550,Ausg._Liste!$F$4:$F$550,502,Ausg._Liste!$G$4:$G$550,8)</f>
        <v>0</v>
      </c>
      <c r="K21" s="4">
        <f>SUMIFS(Ausg._Liste!$H$4:$H$550,Ausg._Liste!$F$4:$F$550,502,Ausg._Liste!$G$4:$G$550,9)</f>
        <v>0</v>
      </c>
      <c r="L21" s="4">
        <f>SUMIFS(Ausg._Liste!$H$4:$H$550,Ausg._Liste!$F$4:$F$550,502,Ausg._Liste!$G$4:$G$550,10)</f>
        <v>0</v>
      </c>
      <c r="M21" s="4">
        <f>SUMIFS(Ausg._Liste!$H$4:$H$550,Ausg._Liste!$F$4:$F$550,502,Ausg._Liste!$G$4:$G$550,11)</f>
        <v>0</v>
      </c>
      <c r="N21" s="4">
        <f>SUMIFS(Ausg._Liste!$H$4:$H$550,Ausg._Liste!$F$4:$F$550,502,Ausg._Liste!$G$4:$G$550,12)</f>
        <v>0</v>
      </c>
      <c r="O21" s="4">
        <f>SUM(C21:N21)</f>
        <v>0</v>
      </c>
    </row>
    <row r="22" spans="1:15" x14ac:dyDescent="0.25">
      <c r="A22" t="s">
        <v>98</v>
      </c>
      <c r="B22">
        <v>503</v>
      </c>
      <c r="C22" s="4">
        <f>SUMIFS(Ausg._Liste!$H$4:$H$550,Ausg._Liste!$F$4:$F$550,503,Ausg._Liste!$G$4:$G$550,1)</f>
        <v>0</v>
      </c>
      <c r="D22" s="4">
        <f>SUMIFS(Ausg._Liste!$H$4:$H$550,Ausg._Liste!$F$4:$F$550,503,Ausg._Liste!$G$4:$G$550,2)</f>
        <v>0</v>
      </c>
      <c r="E22" s="4">
        <f>SUMIFS(Ausg._Liste!$H$4:$H$550,Ausg._Liste!$F$4:$F$550,503,Ausg._Liste!$G$4:$G$550,3)</f>
        <v>0</v>
      </c>
      <c r="F22" s="4">
        <f>SUMIFS(Ausg._Liste!$H$4:$H$550,Ausg._Liste!$F$4:$F$550,503,Ausg._Liste!$G$4:$G$550,4)</f>
        <v>0</v>
      </c>
      <c r="G22" s="4">
        <f>SUMIFS(Ausg._Liste!$H$4:$H$550,Ausg._Liste!$F$4:$F$550,503,Ausg._Liste!$G$4:$G$550,5)</f>
        <v>0</v>
      </c>
      <c r="H22" s="4">
        <f>SUMIFS(Ausg._Liste!$H$4:$H$550,Ausg._Liste!$F$4:$F$550,503,Ausg._Liste!$G$4:$G$550,6)</f>
        <v>0</v>
      </c>
      <c r="I22" s="4">
        <f>SUMIFS(Ausg._Liste!$H$4:$H$550,Ausg._Liste!$F$4:$F$550,503,Ausg._Liste!$G$4:$G$550,7)</f>
        <v>0</v>
      </c>
      <c r="J22" s="4">
        <f>SUMIFS(Ausg._Liste!$H$4:$H$550,Ausg._Liste!$F$4:$F$550,503,Ausg._Liste!$G$4:$G$550,8)</f>
        <v>0</v>
      </c>
      <c r="K22" s="4">
        <f>SUMIFS(Ausg._Liste!$H$4:$H$550,Ausg._Liste!$F$4:$F$550,503,Ausg._Liste!$G$4:$G$550,9)</f>
        <v>0</v>
      </c>
      <c r="L22" s="4">
        <f>SUMIFS(Ausg._Liste!$H$4:$H$550,Ausg._Liste!$F$4:$F$550,503,Ausg._Liste!$G$4:$G$550,10)</f>
        <v>0</v>
      </c>
      <c r="M22" s="4">
        <f>SUMIFS(Ausg._Liste!$H$4:$H$550,Ausg._Liste!$F$4:$F$550,503,Ausg._Liste!$G$4:$G$550,11)</f>
        <v>0</v>
      </c>
      <c r="N22" s="4">
        <f>SUMIFS(Ausg._Liste!$H$4:$H$550,Ausg._Liste!$F$4:$F$550,503,Ausg._Liste!$G$4:$G$550,12)</f>
        <v>0</v>
      </c>
      <c r="O22" s="4">
        <f>SUM(C22:N22)</f>
        <v>0</v>
      </c>
    </row>
    <row r="23" spans="1:15" x14ac:dyDescent="0.25">
      <c r="A23" t="s">
        <v>99</v>
      </c>
      <c r="B23">
        <v>504</v>
      </c>
      <c r="C23" s="4">
        <f>SUMIFS(Ausg._Liste!$H$4:$H$550,Ausg._Liste!$F$4:$F$550,504,Ausg._Liste!$G$4:$G$550,1)</f>
        <v>0</v>
      </c>
      <c r="D23" s="4">
        <f>SUMIFS(Ausg._Liste!$H$4:$H$550,Ausg._Liste!$F$4:$F$550,504,Ausg._Liste!$G$4:$G$550,2)</f>
        <v>0</v>
      </c>
      <c r="E23" s="4">
        <f>SUMIFS(Ausg._Liste!$H$4:$H$550,Ausg._Liste!$F$4:$F$550,504,Ausg._Liste!$G$4:$G$550,3)</f>
        <v>0</v>
      </c>
      <c r="F23" s="4">
        <f>SUMIFS(Ausg._Liste!$H$4:$H$550,Ausg._Liste!$F$4:$F$550,504,Ausg._Liste!$G$4:$G$550,4)</f>
        <v>0</v>
      </c>
      <c r="G23" s="4">
        <f>SUMIFS(Ausg._Liste!$H$4:$H$550,Ausg._Liste!$F$4:$F$550,504,Ausg._Liste!$G$4:$G$550,5)</f>
        <v>0</v>
      </c>
      <c r="H23" s="4">
        <f>SUMIFS(Ausg._Liste!$H$4:$H$550,Ausg._Liste!$F$4:$F$550,504,Ausg._Liste!$G$4:$G$550,6)</f>
        <v>0</v>
      </c>
      <c r="I23" s="4">
        <f>SUMIFS(Ausg._Liste!$H$4:$H$550,Ausg._Liste!$F$4:$F$550,504,Ausg._Liste!$G$4:$G$550,7)</f>
        <v>0</v>
      </c>
      <c r="J23" s="4">
        <f>SUMIFS(Ausg._Liste!$H$4:$H$550,Ausg._Liste!$F$4:$F$550,504,Ausg._Liste!$G$4:$G$550,8)</f>
        <v>0</v>
      </c>
      <c r="K23" s="4">
        <f>SUMIFS(Ausg._Liste!$H$4:$H$550,Ausg._Liste!$F$4:$F$550,504,Ausg._Liste!$G$4:$G$550,9)</f>
        <v>0</v>
      </c>
      <c r="L23" s="4">
        <f>SUMIFS(Ausg._Liste!$H$4:$H$550,Ausg._Liste!$F$4:$F$550,504,Ausg._Liste!$G$4:$G$550,10)</f>
        <v>0</v>
      </c>
      <c r="M23" s="4">
        <f>SUMIFS(Ausg._Liste!$H$4:$H$550,Ausg._Liste!$F$4:$F$550,504,Ausg._Liste!$G$4:$G$550,11)</f>
        <v>0</v>
      </c>
      <c r="N23" s="4">
        <f>SUMIFS(Ausg._Liste!$H$4:$H$550,Ausg._Liste!$F$4:$F$550,504,Ausg._Liste!$G$4:$G$550,12)</f>
        <v>0</v>
      </c>
      <c r="O23" s="4">
        <f>SUM(C23:N23)</f>
        <v>0</v>
      </c>
    </row>
    <row r="24" spans="1:15" x14ac:dyDescent="0.25">
      <c r="A24" t="s">
        <v>351</v>
      </c>
      <c r="B24">
        <v>505</v>
      </c>
      <c r="C24" s="4">
        <f>SUMIFS(Ausg._Liste!$H$4:$H$550,Ausg._Liste!$F$4:$F$550,505,Ausg._Liste!$G$4:$G$550,1)</f>
        <v>0</v>
      </c>
      <c r="D24" s="4">
        <f>SUMIFS(Ausg._Liste!$H$4:$H$550,Ausg._Liste!$F$4:$F$550,505,Ausg._Liste!$G$4:$G$550,2)</f>
        <v>0</v>
      </c>
      <c r="E24" s="4">
        <f>SUMIFS(Ausg._Liste!$H$4:$H$550,Ausg._Liste!$F$4:$F$550,505,Ausg._Liste!$G$4:$G$550,3)</f>
        <v>0</v>
      </c>
      <c r="F24" s="4">
        <f>SUMIFS(Ausg._Liste!$H$4:$H$550,Ausg._Liste!$F$4:$F$550,505,Ausg._Liste!$G$4:$G$550,4)</f>
        <v>0</v>
      </c>
      <c r="G24" s="4">
        <f>SUMIFS(Ausg._Liste!$H$4:$H$550,Ausg._Liste!$F$4:$F$550,505,Ausg._Liste!$G$4:$G$550,5)</f>
        <v>0</v>
      </c>
      <c r="H24" s="4">
        <f>SUMIFS(Ausg._Liste!$H$4:$H$550,Ausg._Liste!$F$4:$F$550,505,Ausg._Liste!$G$4:$G$550,6)</f>
        <v>0</v>
      </c>
      <c r="I24" s="4">
        <f>SUMIFS(Ausg._Liste!$H$4:$H$550,Ausg._Liste!$F$4:$F$550,505,Ausg._Liste!$G$4:$G$550,7)</f>
        <v>0</v>
      </c>
      <c r="J24" s="4">
        <f>SUMIFS(Ausg._Liste!$H$4:$H$550,Ausg._Liste!$F$4:$F$550,505,Ausg._Liste!$G$4:$G$550,8)</f>
        <v>0</v>
      </c>
      <c r="K24" s="4">
        <f>SUMIFS(Ausg._Liste!$H$4:$H$550,Ausg._Liste!$F$4:$F$550,505,Ausg._Liste!$G$4:$G$550,9)</f>
        <v>0</v>
      </c>
      <c r="L24" s="4">
        <f>SUMIFS(Ausg._Liste!$H$4:$H$550,Ausg._Liste!$F$4:$F$550,505,Ausg._Liste!$G$4:$G$550,10)</f>
        <v>0</v>
      </c>
      <c r="M24" s="4">
        <f>SUMIFS(Ausg._Liste!$H$4:$H$550,Ausg._Liste!$F$4:$F$550,505,Ausg._Liste!$G$4:$G$550,11)</f>
        <v>0</v>
      </c>
      <c r="N24" s="4">
        <f>SUMIFS(Ausg._Liste!$H$4:$H$550,Ausg._Liste!$F$4:$F$550,505,Ausg._Liste!$G$4:$G$550,12)</f>
        <v>0</v>
      </c>
      <c r="O24" s="4">
        <f>SUM(C24:N24)</f>
        <v>0</v>
      </c>
    </row>
    <row r="25" spans="1:15" ht="18.75" x14ac:dyDescent="0.3">
      <c r="A25" s="24" t="s">
        <v>100</v>
      </c>
      <c r="B25" s="11">
        <v>600</v>
      </c>
      <c r="C25" s="9">
        <f>SUM(C26:C28)</f>
        <v>0</v>
      </c>
      <c r="D25" s="9">
        <f t="shared" ref="D25:N25" si="6">SUM(D26:D28)</f>
        <v>0</v>
      </c>
      <c r="E25" s="9">
        <f t="shared" si="6"/>
        <v>0</v>
      </c>
      <c r="F25" s="9">
        <f t="shared" si="6"/>
        <v>0</v>
      </c>
      <c r="G25" s="9">
        <f t="shared" si="6"/>
        <v>0</v>
      </c>
      <c r="H25" s="9">
        <f t="shared" si="6"/>
        <v>0</v>
      </c>
      <c r="I25" s="9">
        <f t="shared" si="6"/>
        <v>0</v>
      </c>
      <c r="J25" s="9">
        <f t="shared" si="6"/>
        <v>0</v>
      </c>
      <c r="K25" s="9">
        <f t="shared" si="6"/>
        <v>0</v>
      </c>
      <c r="L25" s="9">
        <f t="shared" si="6"/>
        <v>0</v>
      </c>
      <c r="M25" s="9">
        <f t="shared" si="6"/>
        <v>0</v>
      </c>
      <c r="N25" s="9">
        <f t="shared" si="6"/>
        <v>0</v>
      </c>
      <c r="O25" s="9">
        <f>SUM(O26:O28)</f>
        <v>0</v>
      </c>
    </row>
    <row r="26" spans="1:15" x14ac:dyDescent="0.25">
      <c r="A26" t="s">
        <v>101</v>
      </c>
      <c r="B26">
        <v>601</v>
      </c>
      <c r="C26" s="4">
        <f>SUMIFS(Ausg._Liste!$H$4:$H$550,Ausg._Liste!$F$4:$F$550,601,Ausg._Liste!$G$4:$G$550,1)</f>
        <v>0</v>
      </c>
      <c r="D26" s="4">
        <f>SUMIFS(Ausg._Liste!$H$4:$H$550,Ausg._Liste!$F$4:$F$550,601,Ausg._Liste!$G$4:$G$550,2)</f>
        <v>0</v>
      </c>
      <c r="E26" s="4">
        <f>SUMIFS(Ausg._Liste!$H$4:$H$550,Ausg._Liste!$F$4:$F$550,601,Ausg._Liste!$G$4:$G$550,3)</f>
        <v>0</v>
      </c>
      <c r="F26" s="4">
        <f>SUMIFS(Ausg._Liste!$H$4:$H$550,Ausg._Liste!$F$4:$F$550,601,Ausg._Liste!$G$4:$G$550,4)</f>
        <v>0</v>
      </c>
      <c r="G26" s="4">
        <f>SUMIFS(Ausg._Liste!$H$4:$H$550,Ausg._Liste!$F$4:$F$550,601,Ausg._Liste!$G$4:$G$550,5)</f>
        <v>0</v>
      </c>
      <c r="H26" s="4">
        <f>SUMIFS(Ausg._Liste!$H$4:$H$550,Ausg._Liste!$F$4:$F$550,601,Ausg._Liste!$G$4:$G$550,6)</f>
        <v>0</v>
      </c>
      <c r="I26" s="4">
        <f>SUMIFS(Ausg._Liste!$H$4:$H$550,Ausg._Liste!$F$4:$F$550,601,Ausg._Liste!$G$4:$G$550,7)</f>
        <v>0</v>
      </c>
      <c r="J26" s="4">
        <f>SUMIFS(Ausg._Liste!$H$4:$H$550,Ausg._Liste!$F$4:$F$550,601,Ausg._Liste!$G$4:$G$550,8)</f>
        <v>0</v>
      </c>
      <c r="K26" s="4">
        <f>SUMIFS(Ausg._Liste!$H$4:$H$550,Ausg._Liste!$F$4:$F$550,601,Ausg._Liste!$G$4:$G$550,9)</f>
        <v>0</v>
      </c>
      <c r="L26" s="4">
        <f>SUMIFS(Ausg._Liste!$H$4:$H$550,Ausg._Liste!$F$4:$F$550,601,Ausg._Liste!$G$4:$G$550,10)</f>
        <v>0</v>
      </c>
      <c r="M26" s="4">
        <f>SUMIFS(Ausg._Liste!$H$4:$H$550,Ausg._Liste!$F$4:$F$550,601,Ausg._Liste!$G$4:$G$550,11)</f>
        <v>0</v>
      </c>
      <c r="N26" s="4">
        <f>SUMIFS(Ausg._Liste!$H$4:$H$550,Ausg._Liste!$F$4:$F$550,601,Ausg._Liste!$G$4:$G$550,12)</f>
        <v>0</v>
      </c>
      <c r="O26" s="4">
        <f>SUM(C26:N26)</f>
        <v>0</v>
      </c>
    </row>
    <row r="27" spans="1:15" x14ac:dyDescent="0.25">
      <c r="A27" t="s">
        <v>102</v>
      </c>
      <c r="B27">
        <v>602</v>
      </c>
      <c r="C27" s="4">
        <f>SUMIFS(Ausg._Liste!$H$4:$H$550,Ausg._Liste!$F$4:$F$550,602,Ausg._Liste!$G$4:$G$550,1)</f>
        <v>0</v>
      </c>
      <c r="D27" s="4">
        <f>SUMIFS(Ausg._Liste!$H$4:$H$550,Ausg._Liste!$F$4:$F$550,602,Ausg._Liste!$G$4:$G$550,2)</f>
        <v>0</v>
      </c>
      <c r="E27" s="4">
        <f>SUMIFS(Ausg._Liste!$H$4:$H$550,Ausg._Liste!$F$4:$F$550,602,Ausg._Liste!$G$4:$G$550,3)</f>
        <v>0</v>
      </c>
      <c r="F27" s="4">
        <f>SUMIFS(Ausg._Liste!$H$4:$H$550,Ausg._Liste!$F$4:$F$550,602,Ausg._Liste!$G$4:$G$550,4)</f>
        <v>0</v>
      </c>
      <c r="G27" s="4">
        <f>SUMIFS(Ausg._Liste!$H$4:$H$550,Ausg._Liste!$F$4:$F$550,602,Ausg._Liste!$G$4:$G$550,5)</f>
        <v>0</v>
      </c>
      <c r="H27" s="4">
        <f>SUMIFS(Ausg._Liste!$H$4:$H$550,Ausg._Liste!$F$4:$F$550,602,Ausg._Liste!$G$4:$G$550,6)</f>
        <v>0</v>
      </c>
      <c r="I27" s="4">
        <f>SUMIFS(Ausg._Liste!$H$4:$H$550,Ausg._Liste!$F$4:$F$550,602,Ausg._Liste!$G$4:$G$550,7)</f>
        <v>0</v>
      </c>
      <c r="J27" s="4">
        <f>SUMIFS(Ausg._Liste!$H$4:$H$550,Ausg._Liste!$F$4:$F$550,602,Ausg._Liste!$G$4:$G$550,8)</f>
        <v>0</v>
      </c>
      <c r="K27" s="4">
        <f>SUMIFS(Ausg._Liste!$H$4:$H$550,Ausg._Liste!$F$4:$F$550,602,Ausg._Liste!$G$4:$G$550,9)</f>
        <v>0</v>
      </c>
      <c r="L27" s="4">
        <f>SUMIFS(Ausg._Liste!$H$4:$H$550,Ausg._Liste!$F$4:$F$550,602,Ausg._Liste!$G$4:$G$550,10)</f>
        <v>0</v>
      </c>
      <c r="M27" s="4">
        <f>SUMIFS(Ausg._Liste!$H$4:$H$550,Ausg._Liste!$F$4:$F$550,602,Ausg._Liste!$G$4:$G$550,11)</f>
        <v>0</v>
      </c>
      <c r="N27" s="4">
        <f>SUMIFS(Ausg._Liste!$H$4:$H$550,Ausg._Liste!$F$4:$F$550,602,Ausg._Liste!$G$4:$G$550,12)</f>
        <v>0</v>
      </c>
      <c r="O27" s="4">
        <f>SUM(C27:N27)</f>
        <v>0</v>
      </c>
    </row>
    <row r="28" spans="1:15" x14ac:dyDescent="0.25">
      <c r="A28" t="s">
        <v>103</v>
      </c>
      <c r="B28">
        <v>603</v>
      </c>
      <c r="C28" s="4">
        <f>SUMIFS(Ausg._Liste!$H$4:$H$550,Ausg._Liste!$F$4:$F$550,603,Ausg._Liste!$G$4:$G$550,1)</f>
        <v>0</v>
      </c>
      <c r="D28" s="4">
        <f>SUMIFS(Ausg._Liste!$H$4:$H$550,Ausg._Liste!$F$4:$F$550,603,Ausg._Liste!$G$4:$G$550,2)</f>
        <v>0</v>
      </c>
      <c r="E28" s="4">
        <f>SUMIFS(Ausg._Liste!$H$4:$H$550,Ausg._Liste!$F$4:$F$550,603,Ausg._Liste!$G$4:$G$550,3)</f>
        <v>0</v>
      </c>
      <c r="F28" s="4">
        <f>SUMIFS(Ausg._Liste!$H$4:$H$550,Ausg._Liste!$F$4:$F$550,603,Ausg._Liste!$G$4:$G$550,4)</f>
        <v>0</v>
      </c>
      <c r="G28" s="4">
        <f>SUMIFS(Ausg._Liste!$H$4:$H$550,Ausg._Liste!$F$4:$F$550,603,Ausg._Liste!$G$4:$G$550,5)</f>
        <v>0</v>
      </c>
      <c r="H28" s="4">
        <f>SUMIFS(Ausg._Liste!$H$4:$H$550,Ausg._Liste!$F$4:$F$550,603,Ausg._Liste!$G$4:$G$550,6)</f>
        <v>0</v>
      </c>
      <c r="I28" s="4">
        <f>SUMIFS(Ausg._Liste!$H$4:$H$550,Ausg._Liste!$F$4:$F$550,603,Ausg._Liste!$G$4:$G$550,7)</f>
        <v>0</v>
      </c>
      <c r="J28" s="4">
        <f>SUMIFS(Ausg._Liste!$H$4:$H$550,Ausg._Liste!$F$4:$F$550,603,Ausg._Liste!$G$4:$G$550,8)</f>
        <v>0</v>
      </c>
      <c r="K28" s="4">
        <f>SUMIFS(Ausg._Liste!$H$4:$H$550,Ausg._Liste!$F$4:$F$550,603,Ausg._Liste!$G$4:$G$550,9)</f>
        <v>0</v>
      </c>
      <c r="L28" s="4">
        <f>SUMIFS(Ausg._Liste!$H$4:$H$550,Ausg._Liste!$F$4:$F$550,603,Ausg._Liste!$G$4:$G$550,10)</f>
        <v>0</v>
      </c>
      <c r="M28" s="4">
        <f>SUMIFS(Ausg._Liste!$H$4:$H$550,Ausg._Liste!$F$4:$F$550,603,Ausg._Liste!$G$4:$G$550,11)</f>
        <v>0</v>
      </c>
      <c r="N28" s="4">
        <f>SUMIFS(Ausg._Liste!$H$4:$H$550,Ausg._Liste!$F$4:$F$550,603,Ausg._Liste!$G$4:$G$550,12)</f>
        <v>0</v>
      </c>
      <c r="O28" s="4">
        <f>SUM(C28:N28)</f>
        <v>0</v>
      </c>
    </row>
    <row r="29" spans="1:15" ht="18.75" x14ac:dyDescent="0.3">
      <c r="A29" s="24" t="s">
        <v>51</v>
      </c>
      <c r="B29" s="11">
        <v>700</v>
      </c>
      <c r="C29" s="9">
        <f>SUM(C30:C31)</f>
        <v>0</v>
      </c>
      <c r="D29" s="9">
        <f t="shared" ref="D29:N29" si="7">SUM(D30:D31)</f>
        <v>0</v>
      </c>
      <c r="E29" s="9">
        <f t="shared" si="7"/>
        <v>0</v>
      </c>
      <c r="F29" s="9">
        <f t="shared" si="7"/>
        <v>0</v>
      </c>
      <c r="G29" s="9">
        <f t="shared" si="7"/>
        <v>0</v>
      </c>
      <c r="H29" s="9">
        <f t="shared" si="7"/>
        <v>0</v>
      </c>
      <c r="I29" s="9">
        <f t="shared" si="7"/>
        <v>0</v>
      </c>
      <c r="J29" s="9">
        <f t="shared" si="7"/>
        <v>0</v>
      </c>
      <c r="K29" s="9">
        <f t="shared" si="7"/>
        <v>0</v>
      </c>
      <c r="L29" s="9">
        <f t="shared" si="7"/>
        <v>0</v>
      </c>
      <c r="M29" s="9">
        <f t="shared" si="7"/>
        <v>0</v>
      </c>
      <c r="N29" s="9">
        <f t="shared" si="7"/>
        <v>0</v>
      </c>
      <c r="O29" s="9">
        <f>SUM(O30:O31)</f>
        <v>0</v>
      </c>
    </row>
    <row r="30" spans="1:15" x14ac:dyDescent="0.25">
      <c r="A30" t="s">
        <v>104</v>
      </c>
      <c r="B30">
        <v>705</v>
      </c>
      <c r="C30" s="4">
        <f>SUMIFS(Ausg._Liste!$H$4:$H$550,Ausg._Liste!$F$4:$F$550,705,Ausg._Liste!$G$4:$G$550,1)</f>
        <v>0</v>
      </c>
      <c r="D30" s="4">
        <f>SUMIFS(Ausg._Liste!$H$4:$H$550,Ausg._Liste!$F$4:$F$550,705,Ausg._Liste!$G$4:$G$550,2)</f>
        <v>0</v>
      </c>
      <c r="E30" s="4">
        <f>SUMIFS(Ausg._Liste!$H$4:$H$550,Ausg._Liste!$F$4:$F$550,705,Ausg._Liste!$G$4:$G$550,3)</f>
        <v>0</v>
      </c>
      <c r="F30" s="4">
        <f>SUMIFS(Ausg._Liste!$H$4:$H$550,Ausg._Liste!$F$4:$F$550,705,Ausg._Liste!$G$4:$G$550,4)</f>
        <v>0</v>
      </c>
      <c r="G30" s="4">
        <f>SUMIFS(Ausg._Liste!$H$4:$H$550,Ausg._Liste!$F$4:$F$550,705,Ausg._Liste!$G$4:$G$550,5)</f>
        <v>0</v>
      </c>
      <c r="H30" s="4">
        <f>SUMIFS(Ausg._Liste!$H$4:$H$550,Ausg._Liste!$F$4:$F$550,705,Ausg._Liste!$G$4:$G$550,6)</f>
        <v>0</v>
      </c>
      <c r="I30" s="4">
        <f>SUMIFS(Ausg._Liste!$H$4:$H$550,Ausg._Liste!$F$4:$F$550,705,Ausg._Liste!$G$4:$G$550,7)</f>
        <v>0</v>
      </c>
      <c r="J30" s="4">
        <f>SUMIFS(Ausg._Liste!$H$4:$H$550,Ausg._Liste!$F$4:$F$550,705,Ausg._Liste!$G$4:$G$550,8)</f>
        <v>0</v>
      </c>
      <c r="K30" s="4">
        <f>SUMIFS(Ausg._Liste!$H$4:$H$550,Ausg._Liste!$F$4:$F$550,705,Ausg._Liste!$G$4:$G$550,9)</f>
        <v>0</v>
      </c>
      <c r="L30" s="4">
        <f>SUMIFS(Ausg._Liste!$H$4:$H$550,Ausg._Liste!$F$4:$F$550,705,Ausg._Liste!$G$4:$G$550,10)</f>
        <v>0</v>
      </c>
      <c r="M30" s="4">
        <f>SUMIFS(Ausg._Liste!$H$4:$H$550,Ausg._Liste!$F$4:$F$550,705,Ausg._Liste!$G$4:$G$550,11)</f>
        <v>0</v>
      </c>
      <c r="N30" s="4">
        <f>SUMIFS(Ausg._Liste!$H$4:$H$550,Ausg._Liste!$F$4:$F$550,705,Ausg._Liste!$G$4:$G$550,12)</f>
        <v>0</v>
      </c>
      <c r="O30" s="4">
        <f>SUM(C30:N30)</f>
        <v>0</v>
      </c>
    </row>
    <row r="31" spans="1:15" x14ac:dyDescent="0.25">
      <c r="A31" t="s">
        <v>89</v>
      </c>
      <c r="B31">
        <v>706</v>
      </c>
      <c r="C31" s="4">
        <f>SUMIFS(Ausg._Liste!$H$4:$H$550,Ausg._Liste!$F$4:$F$550,706,Ausg._Liste!$G$4:$G$550,1)</f>
        <v>0</v>
      </c>
      <c r="D31" s="4">
        <f>SUMIFS(Ausg._Liste!$H$4:$H$550,Ausg._Liste!$F$4:$F$550,706,Ausg._Liste!$G$4:$G$550,2)</f>
        <v>0</v>
      </c>
      <c r="E31" s="4">
        <f>SUMIFS(Ausg._Liste!$H$4:$H$550,Ausg._Liste!$F$4:$F$550,706,Ausg._Liste!$G$4:$G$550,3)</f>
        <v>0</v>
      </c>
      <c r="F31" s="4">
        <f>SUMIFS(Ausg._Liste!$H$4:$H$550,Ausg._Liste!$F$4:$F$550,706,Ausg._Liste!$G$4:$G$550,4)</f>
        <v>0</v>
      </c>
      <c r="G31" s="4">
        <f>SUMIFS(Ausg._Liste!$H$4:$H$550,Ausg._Liste!$F$4:$F$550,706,Ausg._Liste!$G$4:$G$550,5)</f>
        <v>0</v>
      </c>
      <c r="H31" s="4">
        <f>SUMIFS(Ausg._Liste!$H$4:$H$550,Ausg._Liste!$F$4:$F$550,706,Ausg._Liste!$G$4:$G$550,6)</f>
        <v>0</v>
      </c>
      <c r="I31" s="4">
        <f>SUMIFS(Ausg._Liste!$H$4:$H$550,Ausg._Liste!$F$4:$F$550,706,Ausg._Liste!$G$4:$G$550,7)</f>
        <v>0</v>
      </c>
      <c r="J31" s="4">
        <f>SUMIFS(Ausg._Liste!$H$4:$H$550,Ausg._Liste!$F$4:$F$550,706,Ausg._Liste!$G$4:$G$550,8)</f>
        <v>0</v>
      </c>
      <c r="K31" s="4">
        <f>SUMIFS(Ausg._Liste!$H$4:$H$550,Ausg._Liste!$F$4:$F$550,706,Ausg._Liste!$G$4:$G$550,9)</f>
        <v>0</v>
      </c>
      <c r="L31" s="4">
        <f>SUMIFS(Ausg._Liste!$H$4:$H$550,Ausg._Liste!$F$4:$F$550,706,Ausg._Liste!$G$4:$G$550,10)</f>
        <v>0</v>
      </c>
      <c r="M31" s="4">
        <f>SUMIFS(Ausg._Liste!$H$4:$H$550,Ausg._Liste!$F$4:$F$550,706,Ausg._Liste!$G$4:$G$550,11)</f>
        <v>0</v>
      </c>
      <c r="N31" s="4">
        <f>SUMIFS(Ausg._Liste!$H$4:$H$550,Ausg._Liste!$F$4:$F$550,706,Ausg._Liste!$G$4:$G$550,12)</f>
        <v>0</v>
      </c>
      <c r="O31" s="4">
        <f>SUM(C31:N31)</f>
        <v>0</v>
      </c>
    </row>
    <row r="32" spans="1:15" ht="18.75" x14ac:dyDescent="0.3">
      <c r="A32" s="24" t="s">
        <v>4</v>
      </c>
      <c r="B32" s="11">
        <v>800</v>
      </c>
      <c r="C32" s="9">
        <f>SUM(C33:C35)</f>
        <v>0</v>
      </c>
      <c r="D32" s="9">
        <f t="shared" ref="D32:N32" si="8">SUM(D33:D35)</f>
        <v>0</v>
      </c>
      <c r="E32" s="9">
        <f t="shared" si="8"/>
        <v>0</v>
      </c>
      <c r="F32" s="9">
        <f t="shared" si="8"/>
        <v>0</v>
      </c>
      <c r="G32" s="9">
        <f t="shared" si="8"/>
        <v>0</v>
      </c>
      <c r="H32" s="9">
        <f t="shared" si="8"/>
        <v>0</v>
      </c>
      <c r="I32" s="9">
        <f t="shared" si="8"/>
        <v>0</v>
      </c>
      <c r="J32" s="9">
        <f t="shared" si="8"/>
        <v>0</v>
      </c>
      <c r="K32" s="9">
        <f t="shared" si="8"/>
        <v>0</v>
      </c>
      <c r="L32" s="9">
        <f t="shared" si="8"/>
        <v>0</v>
      </c>
      <c r="M32" s="9">
        <f t="shared" si="8"/>
        <v>0</v>
      </c>
      <c r="N32" s="9">
        <f t="shared" si="8"/>
        <v>0</v>
      </c>
      <c r="O32" s="9">
        <f>SUM(O33:O35)</f>
        <v>0</v>
      </c>
    </row>
    <row r="33" spans="1:15" x14ac:dyDescent="0.25">
      <c r="A33" t="s">
        <v>105</v>
      </c>
      <c r="B33">
        <v>803</v>
      </c>
      <c r="C33" s="4">
        <f>SUMIFS(Ausg._Liste!$H$4:$H$550,Ausg._Liste!$F$4:$F$550,803,Ausg._Liste!$G$4:$G$550,1)</f>
        <v>0</v>
      </c>
      <c r="D33" s="4">
        <f>SUMIFS(Ausg._Liste!$H$4:$H$550,Ausg._Liste!$F$4:$F$550,803,Ausg._Liste!$G$4:$G$550,2)</f>
        <v>0</v>
      </c>
      <c r="E33" s="4">
        <f>SUMIFS(Ausg._Liste!$H$4:$H$550,Ausg._Liste!$F$4:$F$550,803,Ausg._Liste!$G$4:$G$550,3)</f>
        <v>0</v>
      </c>
      <c r="F33" s="4">
        <f>SUMIFS(Ausg._Liste!$H$4:$H$550,Ausg._Liste!$F$4:$F$550,803,Ausg._Liste!$G$4:$G$550,4)</f>
        <v>0</v>
      </c>
      <c r="G33" s="4">
        <f>SUMIFS(Ausg._Liste!$H$4:$H$550,Ausg._Liste!$F$4:$F$550,803,Ausg._Liste!$G$4:$G$550,5)</f>
        <v>0</v>
      </c>
      <c r="H33" s="4">
        <f>SUMIFS(Ausg._Liste!$H$4:$H$550,Ausg._Liste!$F$4:$F$550,803,Ausg._Liste!$G$4:$G$550,6)</f>
        <v>0</v>
      </c>
      <c r="I33" s="4">
        <f>SUMIFS(Ausg._Liste!$H$4:$H$550,Ausg._Liste!$F$4:$F$550,803,Ausg._Liste!$G$4:$G$550,7)</f>
        <v>0</v>
      </c>
      <c r="J33" s="4">
        <f>SUMIFS(Ausg._Liste!$H$4:$H$550,Ausg._Liste!$F$4:$F$550,803,Ausg._Liste!$G$4:$G$550,8)</f>
        <v>0</v>
      </c>
      <c r="K33" s="4">
        <f>SUMIFS(Ausg._Liste!$H$4:$H$550,Ausg._Liste!$F$4:$F$550,803,Ausg._Liste!$G$4:$G$550,9)</f>
        <v>0</v>
      </c>
      <c r="L33" s="4">
        <f>SUMIFS(Ausg._Liste!$H$4:$H$550,Ausg._Liste!$F$4:$F$550,803,Ausg._Liste!$G$4:$G$550,10)</f>
        <v>0</v>
      </c>
      <c r="M33" s="4">
        <f>SUMIFS(Ausg._Liste!$H$4:$H$550,Ausg._Liste!$F$4:$F$550,803,Ausg._Liste!$G$4:$G$550,11)</f>
        <v>0</v>
      </c>
      <c r="N33" s="4">
        <f>SUMIFS(Ausg._Liste!$H$4:$H$550,Ausg._Liste!$F$4:$F$550,803,Ausg._Liste!$G$4:$G$550,12)</f>
        <v>0</v>
      </c>
      <c r="O33" s="4">
        <f>SUM(C33:N33)</f>
        <v>0</v>
      </c>
    </row>
    <row r="34" spans="1:15" x14ac:dyDescent="0.25">
      <c r="A34" t="s">
        <v>149</v>
      </c>
      <c r="B34">
        <v>804</v>
      </c>
      <c r="C34" s="4">
        <f>SUMIFS(Ausg._Liste!$H$4:$H$550,Ausg._Liste!$F$4:$F$550,804,Ausg._Liste!$G$4:$G$550,1)</f>
        <v>0</v>
      </c>
      <c r="D34" s="4">
        <f>SUMIFS(Ausg._Liste!$H$4:$H$550,Ausg._Liste!$F$4:$F$550,804,Ausg._Liste!$G$4:$G$550,2)</f>
        <v>0</v>
      </c>
      <c r="E34" s="4">
        <f>SUMIFS(Ausg._Liste!$H$4:$H$550,Ausg._Liste!$F$4:$F$550,804,Ausg._Liste!$G$4:$G$550,3)</f>
        <v>0</v>
      </c>
      <c r="F34" s="4">
        <f>SUMIFS(Ausg._Liste!$H$4:$H$550,Ausg._Liste!$F$4:$F$550,804,Ausg._Liste!$G$4:$G$550,4)</f>
        <v>0</v>
      </c>
      <c r="G34" s="4">
        <f>SUMIFS(Ausg._Liste!$H$4:$H$550,Ausg._Liste!$F$4:$F$550,804,Ausg._Liste!$G$4:$G$550,5)</f>
        <v>0</v>
      </c>
      <c r="H34" s="4">
        <f>SUMIFS(Ausg._Liste!$H$4:$H$550,Ausg._Liste!$F$4:$F$550,804,Ausg._Liste!$G$4:$G$550,6)</f>
        <v>0</v>
      </c>
      <c r="I34" s="4">
        <f>SUMIFS(Ausg._Liste!$H$4:$H$550,Ausg._Liste!$F$4:$F$550,804,Ausg._Liste!$G$4:$G$550,7)</f>
        <v>0</v>
      </c>
      <c r="J34" s="4">
        <f>SUMIFS(Ausg._Liste!$H$4:$H$550,Ausg._Liste!$F$4:$F$550,804,Ausg._Liste!$G$4:$G$550,8)</f>
        <v>0</v>
      </c>
      <c r="K34" s="4">
        <f>SUMIFS(Ausg._Liste!$H$4:$H$550,Ausg._Liste!$F$4:$F$550,804,Ausg._Liste!$G$4:$G$550,9)</f>
        <v>0</v>
      </c>
      <c r="L34" s="4">
        <f>SUMIFS(Ausg._Liste!$H$4:$H$550,Ausg._Liste!$F$4:$F$550,804,Ausg._Liste!$G$4:$G$550,10)</f>
        <v>0</v>
      </c>
      <c r="M34" s="4">
        <f>SUMIFS(Ausg._Liste!$H$4:$H$550,Ausg._Liste!$F$4:$F$550,804,Ausg._Liste!$G$4:$G$550,11)</f>
        <v>0</v>
      </c>
      <c r="N34" s="4">
        <f>SUMIFS(Ausg._Liste!$H$4:$H$550,Ausg._Liste!$F$4:$F$550,804,Ausg._Liste!$G$4:$G$550,12)</f>
        <v>0</v>
      </c>
      <c r="O34" s="4">
        <f>SUM(C34:N34)</f>
        <v>0</v>
      </c>
    </row>
    <row r="35" spans="1:15" x14ac:dyDescent="0.25">
      <c r="A35" t="s">
        <v>150</v>
      </c>
      <c r="B35">
        <v>805</v>
      </c>
      <c r="C35" s="4">
        <f>SUMIFS(Ausg._Liste!$H$4:$H$550,Ausg._Liste!$F$4:$F$550,805,Ausg._Liste!$G$4:$G$550,1)</f>
        <v>0</v>
      </c>
      <c r="D35" s="4">
        <f>SUMIFS(Ausg._Liste!$H$4:$H$550,Ausg._Liste!$F$4:$F$550,805,Ausg._Liste!$G$4:$G$550,2)</f>
        <v>0</v>
      </c>
      <c r="E35" s="4">
        <f>SUMIFS(Ausg._Liste!$H$4:$H$550,Ausg._Liste!$F$4:$F$550,805,Ausg._Liste!$G$4:$G$550,3)</f>
        <v>0</v>
      </c>
      <c r="F35" s="4">
        <f>SUMIFS(Ausg._Liste!$H$4:$H$550,Ausg._Liste!$F$4:$F$550,805,Ausg._Liste!$G$4:$G$550,4)</f>
        <v>0</v>
      </c>
      <c r="G35" s="4">
        <f>SUMIFS(Ausg._Liste!$H$4:$H$550,Ausg._Liste!$F$4:$F$550,805,Ausg._Liste!$G$4:$G$550,5)</f>
        <v>0</v>
      </c>
      <c r="H35" s="4">
        <f>SUMIFS(Ausg._Liste!$H$4:$H$550,Ausg._Liste!$F$4:$F$550,805,Ausg._Liste!$G$4:$G$550,6)</f>
        <v>0</v>
      </c>
      <c r="I35" s="4">
        <f>SUMIFS(Ausg._Liste!$H$4:$H$550,Ausg._Liste!$F$4:$F$550,805,Ausg._Liste!$G$4:$G$550,7)</f>
        <v>0</v>
      </c>
      <c r="J35" s="4">
        <f>SUMIFS(Ausg._Liste!$H$4:$H$550,Ausg._Liste!$F$4:$F$550,805,Ausg._Liste!$G$4:$G$550,8)</f>
        <v>0</v>
      </c>
      <c r="K35" s="4">
        <f>SUMIFS(Ausg._Liste!$H$4:$H$550,Ausg._Liste!$F$4:$F$550,805,Ausg._Liste!$G$4:$G$550,9)</f>
        <v>0</v>
      </c>
      <c r="L35" s="4">
        <f>SUMIFS(Ausg._Liste!$H$4:$H$550,Ausg._Liste!$F$4:$F$550,805,Ausg._Liste!$G$4:$G$550,10)</f>
        <v>0</v>
      </c>
      <c r="M35" s="4">
        <f>SUMIFS(Ausg._Liste!$H$4:$H$550,Ausg._Liste!$F$4:$F$550,805,Ausg._Liste!$G$4:$G$550,11)</f>
        <v>0</v>
      </c>
      <c r="N35" s="4">
        <f>SUMIFS(Ausg._Liste!$H$4:$H$550,Ausg._Liste!$F$4:$F$550,805,Ausg._Liste!$G$4:$G$550,12)</f>
        <v>0</v>
      </c>
      <c r="O35" s="4">
        <f>SUM(C35:N35)</f>
        <v>0</v>
      </c>
    </row>
    <row r="36" spans="1:15" ht="18.75" x14ac:dyDescent="0.3">
      <c r="A36" s="24" t="s">
        <v>58</v>
      </c>
      <c r="B36" s="11">
        <v>900</v>
      </c>
      <c r="C36" s="9">
        <f>SUM(C37:C42)</f>
        <v>0</v>
      </c>
      <c r="D36" s="9">
        <f t="shared" ref="D36:N36" si="9">SUM(D37:D42)</f>
        <v>0</v>
      </c>
      <c r="E36" s="9">
        <f t="shared" si="9"/>
        <v>0</v>
      </c>
      <c r="F36" s="9">
        <f t="shared" si="9"/>
        <v>0</v>
      </c>
      <c r="G36" s="9">
        <f t="shared" si="9"/>
        <v>0</v>
      </c>
      <c r="H36" s="9">
        <f t="shared" si="9"/>
        <v>0</v>
      </c>
      <c r="I36" s="9">
        <f t="shared" si="9"/>
        <v>0</v>
      </c>
      <c r="J36" s="9">
        <f t="shared" si="9"/>
        <v>0</v>
      </c>
      <c r="K36" s="9">
        <f t="shared" si="9"/>
        <v>0</v>
      </c>
      <c r="L36" s="9">
        <f t="shared" si="9"/>
        <v>0</v>
      </c>
      <c r="M36" s="9">
        <f t="shared" si="9"/>
        <v>0</v>
      </c>
      <c r="N36" s="9">
        <f t="shared" si="9"/>
        <v>0</v>
      </c>
      <c r="O36" s="9">
        <f>SUM(O37:O42)</f>
        <v>0</v>
      </c>
    </row>
    <row r="37" spans="1:15" x14ac:dyDescent="0.25">
      <c r="A37" t="s">
        <v>106</v>
      </c>
      <c r="B37">
        <v>905</v>
      </c>
      <c r="C37" s="4">
        <f>SUMIFS(Ausg._Liste!$H$4:$H$550,Ausg._Liste!$F$4:$F$550,905,Ausg._Liste!$G$4:$G$550,1)</f>
        <v>0</v>
      </c>
      <c r="D37" s="4">
        <f>SUMIFS(Ausg._Liste!$H$4:$H$550,Ausg._Liste!$F$4:$F$550,905,Ausg._Liste!$G$4:$G$550,2)</f>
        <v>0</v>
      </c>
      <c r="E37" s="4">
        <f>SUMIFS(Ausg._Liste!$H$4:$H$550,Ausg._Liste!$F$4:$F$550,905,Ausg._Liste!$G$4:$G$550,3)</f>
        <v>0</v>
      </c>
      <c r="F37" s="4">
        <f>SUMIFS(Ausg._Liste!$H$4:$H$550,Ausg._Liste!$F$4:$F$550,905,Ausg._Liste!$G$4:$G$550,4)</f>
        <v>0</v>
      </c>
      <c r="G37" s="4">
        <f>SUMIFS(Ausg._Liste!$H$4:$H$550,Ausg._Liste!$F$4:$F$550,905,Ausg._Liste!$G$4:$G$550,5)</f>
        <v>0</v>
      </c>
      <c r="H37" s="4">
        <f>SUMIFS(Ausg._Liste!$H$4:$H$550,Ausg._Liste!$F$4:$F$550,905,Ausg._Liste!$G$4:$G$550,6)</f>
        <v>0</v>
      </c>
      <c r="I37" s="4">
        <f>SUMIFS(Ausg._Liste!$H$4:$H$550,Ausg._Liste!$F$4:$F$550,905,Ausg._Liste!$G$4:$G$550,7)</f>
        <v>0</v>
      </c>
      <c r="J37" s="4">
        <f>SUMIFS(Ausg._Liste!$H$4:$H$550,Ausg._Liste!$F$4:$F$550,905,Ausg._Liste!$G$4:$G$550,8)</f>
        <v>0</v>
      </c>
      <c r="K37" s="4">
        <f>SUMIFS(Ausg._Liste!$H$4:$H$550,Ausg._Liste!$F$4:$F$550,905,Ausg._Liste!$G$4:$G$550,9)</f>
        <v>0</v>
      </c>
      <c r="L37" s="4">
        <f>SUMIFS(Ausg._Liste!$H$4:$H$550,Ausg._Liste!$F$4:$F$550,905,Ausg._Liste!$G$4:$G$550,10)</f>
        <v>0</v>
      </c>
      <c r="M37" s="4">
        <f>SUMIFS(Ausg._Liste!$H$4:$H$550,Ausg._Liste!$F$4:$F$550,905,Ausg._Liste!$G$4:$G$550,11)</f>
        <v>0</v>
      </c>
      <c r="N37" s="4">
        <f>SUMIFS(Ausg._Liste!$H$4:$H$550,Ausg._Liste!$F$4:$F$550,905,Ausg._Liste!$G$4:$G$550,12)</f>
        <v>0</v>
      </c>
      <c r="O37" s="4">
        <f t="shared" ref="O37:O42" si="10">SUM(C37:N37)</f>
        <v>0</v>
      </c>
    </row>
    <row r="38" spans="1:15" x14ac:dyDescent="0.25">
      <c r="A38" t="s">
        <v>107</v>
      </c>
      <c r="B38">
        <v>906</v>
      </c>
      <c r="C38" s="4">
        <f>SUMIFS(Ausg._Liste!$H$4:$H$550,Ausg._Liste!$F$4:$F$550,906,Ausg._Liste!$G$4:$G$550,1)</f>
        <v>0</v>
      </c>
      <c r="D38" s="4">
        <f>SUMIFS(Ausg._Liste!$H$4:$H$550,Ausg._Liste!$F$4:$F$550,906,Ausg._Liste!$G$4:$G$550,2)</f>
        <v>0</v>
      </c>
      <c r="E38" s="4">
        <f>SUMIFS(Ausg._Liste!$H$4:$H$550,Ausg._Liste!$F$4:$F$550,906,Ausg._Liste!$G$4:$G$550,3)</f>
        <v>0</v>
      </c>
      <c r="F38" s="4">
        <f>SUMIFS(Ausg._Liste!$H$4:$H$550,Ausg._Liste!$F$4:$F$550,906,Ausg._Liste!$G$4:$G$550,4)</f>
        <v>0</v>
      </c>
      <c r="G38" s="4">
        <f>SUMIFS(Ausg._Liste!$H$4:$H$550,Ausg._Liste!$F$4:$F$550,906,Ausg._Liste!$G$4:$G$550,5)</f>
        <v>0</v>
      </c>
      <c r="H38" s="4">
        <f>SUMIFS(Ausg._Liste!$H$4:$H$550,Ausg._Liste!$F$4:$F$550,906,Ausg._Liste!$G$4:$G$550,6)</f>
        <v>0</v>
      </c>
      <c r="I38" s="4">
        <f>SUMIFS(Ausg._Liste!$H$4:$H$550,Ausg._Liste!$F$4:$F$550,906,Ausg._Liste!$G$4:$G$550,7)</f>
        <v>0</v>
      </c>
      <c r="J38" s="4">
        <f>SUMIFS(Ausg._Liste!$H$4:$H$550,Ausg._Liste!$F$4:$F$550,906,Ausg._Liste!$G$4:$G$550,8)</f>
        <v>0</v>
      </c>
      <c r="K38" s="4">
        <f>SUMIFS(Ausg._Liste!$H$4:$H$550,Ausg._Liste!$F$4:$F$550,906,Ausg._Liste!$G$4:$G$550,9)</f>
        <v>0</v>
      </c>
      <c r="L38" s="4">
        <f>SUMIFS(Ausg._Liste!$H$4:$H$550,Ausg._Liste!$F$4:$F$550,906,Ausg._Liste!$G$4:$G$550,10)</f>
        <v>0</v>
      </c>
      <c r="M38" s="4">
        <f>SUMIFS(Ausg._Liste!$H$4:$H$550,Ausg._Liste!$F$4:$F$550,906,Ausg._Liste!$G$4:$G$550,11)</f>
        <v>0</v>
      </c>
      <c r="N38" s="4">
        <f>SUMIFS(Ausg._Liste!$H$4:$H$550,Ausg._Liste!$F$4:$F$550,906,Ausg._Liste!$G$4:$G$550,12)</f>
        <v>0</v>
      </c>
      <c r="O38" s="4">
        <f t="shared" si="10"/>
        <v>0</v>
      </c>
    </row>
    <row r="39" spans="1:15" x14ac:dyDescent="0.25">
      <c r="A39" t="s">
        <v>108</v>
      </c>
      <c r="B39">
        <v>907</v>
      </c>
      <c r="C39" s="4">
        <f>SUMIFS(Ausg._Liste!$H$4:$H$550,Ausg._Liste!$F$4:$F$550,907,Ausg._Liste!$G$4:$G$550,1)</f>
        <v>0</v>
      </c>
      <c r="D39" s="4">
        <f>SUMIFS(Ausg._Liste!$H$4:$H$550,Ausg._Liste!$F$4:$F$550,907,Ausg._Liste!$G$4:$G$550,2)</f>
        <v>0</v>
      </c>
      <c r="E39" s="4">
        <f>SUMIFS(Ausg._Liste!$H$4:$H$550,Ausg._Liste!$F$4:$F$550,907,Ausg._Liste!$G$4:$G$550,3)</f>
        <v>0</v>
      </c>
      <c r="F39" s="4">
        <f>SUMIFS(Ausg._Liste!$H$4:$H$550,Ausg._Liste!$F$4:$F$550,907,Ausg._Liste!$G$4:$G$550,4)</f>
        <v>0</v>
      </c>
      <c r="G39" s="4">
        <f>SUMIFS(Ausg._Liste!$H$4:$H$550,Ausg._Liste!$F$4:$F$550,907,Ausg._Liste!$G$4:$G$550,5)</f>
        <v>0</v>
      </c>
      <c r="H39" s="4">
        <f>SUMIFS(Ausg._Liste!$H$4:$H$550,Ausg._Liste!$F$4:$F$550,907,Ausg._Liste!$G$4:$G$550,6)</f>
        <v>0</v>
      </c>
      <c r="I39" s="4">
        <f>SUMIFS(Ausg._Liste!$H$4:$H$550,Ausg._Liste!$F$4:$F$550,907,Ausg._Liste!$G$4:$G$550,7)</f>
        <v>0</v>
      </c>
      <c r="J39" s="4">
        <f>SUMIFS(Ausg._Liste!$H$4:$H$550,Ausg._Liste!$F$4:$F$550,907,Ausg._Liste!$G$4:$G$550,8)</f>
        <v>0</v>
      </c>
      <c r="K39" s="4">
        <f>SUMIFS(Ausg._Liste!$H$4:$H$550,Ausg._Liste!$F$4:$F$550,907,Ausg._Liste!$G$4:$G$550,9)</f>
        <v>0</v>
      </c>
      <c r="L39" s="4">
        <f>SUMIFS(Ausg._Liste!$H$4:$H$550,Ausg._Liste!$F$4:$F$550,907,Ausg._Liste!$G$4:$G$550,10)</f>
        <v>0</v>
      </c>
      <c r="M39" s="4">
        <f>SUMIFS(Ausg._Liste!$H$4:$H$550,Ausg._Liste!$F$4:$F$550,907,Ausg._Liste!$G$4:$G$550,11)</f>
        <v>0</v>
      </c>
      <c r="N39" s="4">
        <f>SUMIFS(Ausg._Liste!$H$4:$H$550,Ausg._Liste!$F$4:$F$550,907,Ausg._Liste!$G$4:$G$550,12)</f>
        <v>0</v>
      </c>
      <c r="O39" s="4">
        <f t="shared" si="10"/>
        <v>0</v>
      </c>
    </row>
    <row r="40" spans="1:15" x14ac:dyDescent="0.25">
      <c r="A40" t="s">
        <v>109</v>
      </c>
      <c r="B40">
        <v>908</v>
      </c>
      <c r="C40" s="4">
        <f>SUMIFS(Ausg._Liste!$H$4:$H$550,Ausg._Liste!$F$4:$F$550,908,Ausg._Liste!$G$4:$G$550,1)</f>
        <v>0</v>
      </c>
      <c r="D40" s="4">
        <f>SUMIFS(Ausg._Liste!$H$4:$H$550,Ausg._Liste!$F$4:$F$550,908,Ausg._Liste!$G$4:$G$550,2)</f>
        <v>0</v>
      </c>
      <c r="E40" s="4">
        <f>SUMIFS(Ausg._Liste!$H$4:$H$550,Ausg._Liste!$F$4:$F$550,908,Ausg._Liste!$G$4:$G$550,3)</f>
        <v>0</v>
      </c>
      <c r="F40" s="4">
        <f>SUMIFS(Ausg._Liste!$H$4:$H$550,Ausg._Liste!$F$4:$F$550,908,Ausg._Liste!$G$4:$G$550,4)</f>
        <v>0</v>
      </c>
      <c r="G40" s="4">
        <f>SUMIFS(Ausg._Liste!$H$4:$H$550,Ausg._Liste!$F$4:$F$550,908,Ausg._Liste!$G$4:$G$550,5)</f>
        <v>0</v>
      </c>
      <c r="H40" s="4">
        <f>SUMIFS(Ausg._Liste!$H$4:$H$550,Ausg._Liste!$F$4:$F$550,908,Ausg._Liste!$G$4:$G$550,6)</f>
        <v>0</v>
      </c>
      <c r="I40" s="4">
        <f>SUMIFS(Ausg._Liste!$H$4:$H$550,Ausg._Liste!$F$4:$F$550,908,Ausg._Liste!$G$4:$G$550,7)</f>
        <v>0</v>
      </c>
      <c r="J40" s="4">
        <f>SUMIFS(Ausg._Liste!$H$4:$H$550,Ausg._Liste!$F$4:$F$550,908,Ausg._Liste!$G$4:$G$550,8)</f>
        <v>0</v>
      </c>
      <c r="K40" s="4">
        <f>SUMIFS(Ausg._Liste!$H$4:$H$550,Ausg._Liste!$F$4:$F$550,908,Ausg._Liste!$G$4:$G$550,9)</f>
        <v>0</v>
      </c>
      <c r="L40" s="4">
        <f>SUMIFS(Ausg._Liste!$H$4:$H$550,Ausg._Liste!$F$4:$F$550,908,Ausg._Liste!$G$4:$G$550,10)</f>
        <v>0</v>
      </c>
      <c r="M40" s="4">
        <f>SUMIFS(Ausg._Liste!$H$4:$H$550,Ausg._Liste!$F$4:$F$550,908,Ausg._Liste!$G$4:$G$550,11)</f>
        <v>0</v>
      </c>
      <c r="N40" s="4">
        <f>SUMIFS(Ausg._Liste!$H$4:$H$550,Ausg._Liste!$F$4:$F$550,908,Ausg._Liste!$G$4:$G$550,12)</f>
        <v>0</v>
      </c>
      <c r="O40" s="4">
        <f t="shared" si="10"/>
        <v>0</v>
      </c>
    </row>
    <row r="41" spans="1:15" x14ac:dyDescent="0.25">
      <c r="A41" t="s">
        <v>139</v>
      </c>
      <c r="B41">
        <v>909</v>
      </c>
      <c r="C41" s="4">
        <f>SUMIFS(Ausg._Liste!$H$4:$H$550,Ausg._Liste!$F$4:$F$550,909,Ausg._Liste!$G$4:$G$550,1)</f>
        <v>0</v>
      </c>
      <c r="D41" s="4">
        <f>SUMIFS(Ausg._Liste!$H$4:$H$550,Ausg._Liste!$F$4:$F$550,909,Ausg._Liste!$G$4:$G$550,2)</f>
        <v>0</v>
      </c>
      <c r="E41" s="4">
        <f>SUMIFS(Ausg._Liste!$H$4:$H$550,Ausg._Liste!$F$4:$F$550,909,Ausg._Liste!$G$4:$G$550,3)</f>
        <v>0</v>
      </c>
      <c r="F41" s="4">
        <f>SUMIFS(Ausg._Liste!$H$4:$H$550,Ausg._Liste!$F$4:$F$550,909,Ausg._Liste!$G$4:$G$550,4)</f>
        <v>0</v>
      </c>
      <c r="G41" s="4">
        <f>SUMIFS(Ausg._Liste!$H$4:$H$550,Ausg._Liste!$F$4:$F$550,909,Ausg._Liste!$G$4:$G$550,5)</f>
        <v>0</v>
      </c>
      <c r="H41" s="4">
        <f>SUMIFS(Ausg._Liste!$H$4:$H$550,Ausg._Liste!$F$4:$F$550,909,Ausg._Liste!$G$4:$G$550,6)</f>
        <v>0</v>
      </c>
      <c r="I41" s="4">
        <f>SUMIFS(Ausg._Liste!$H$4:$H$550,Ausg._Liste!$F$4:$F$550,909,Ausg._Liste!$G$4:$G$550,7)</f>
        <v>0</v>
      </c>
      <c r="J41" s="4">
        <f>SUMIFS(Ausg._Liste!$H$4:$H$550,Ausg._Liste!$F$4:$F$550,909,Ausg._Liste!$G$4:$G$550,8)</f>
        <v>0</v>
      </c>
      <c r="K41" s="4">
        <f>SUMIFS(Ausg._Liste!$H$4:$H$550,Ausg._Liste!$F$4:$F$550,909,Ausg._Liste!$G$4:$G$550,9)</f>
        <v>0</v>
      </c>
      <c r="L41" s="4">
        <f>SUMIFS(Ausg._Liste!$H$4:$H$550,Ausg._Liste!$F$4:$F$550,909,Ausg._Liste!$G$4:$G$550,10)</f>
        <v>0</v>
      </c>
      <c r="M41" s="4">
        <f>SUMIFS(Ausg._Liste!$H$4:$H$550,Ausg._Liste!$F$4:$F$550,909,Ausg._Liste!$G$4:$G$550,11)</f>
        <v>0</v>
      </c>
      <c r="N41" s="4">
        <f>SUMIFS(Ausg._Liste!$H$4:$H$550,Ausg._Liste!$F$4:$F$550,909,Ausg._Liste!$G$4:$G$550,12)</f>
        <v>0</v>
      </c>
      <c r="O41" s="4">
        <f t="shared" si="10"/>
        <v>0</v>
      </c>
    </row>
    <row r="42" spans="1:15" x14ac:dyDescent="0.25">
      <c r="A42" t="s">
        <v>353</v>
      </c>
      <c r="B42">
        <v>910</v>
      </c>
      <c r="C42" s="4">
        <f>SUMIFS(Ausg._Liste!$H$4:$H$550,Ausg._Liste!$F$4:$F$550,910,Ausg._Liste!$G$4:$G$550,1)</f>
        <v>0</v>
      </c>
      <c r="D42" s="4">
        <f>SUMIFS(Ausg._Liste!$H$4:$H$550,Ausg._Liste!$F$4:$F$550,910,Ausg._Liste!$G$4:$G$550,2)</f>
        <v>0</v>
      </c>
      <c r="E42" s="4">
        <f>SUMIFS(Ausg._Liste!$H$4:$H$550,Ausg._Liste!$F$4:$F$550,910,Ausg._Liste!$G$4:$G$550,3)</f>
        <v>0</v>
      </c>
      <c r="F42" s="4">
        <f>SUMIFS(Ausg._Liste!$H$4:$H$550,Ausg._Liste!$F$4:$F$550,910,Ausg._Liste!$G$4:$G$550,4)</f>
        <v>0</v>
      </c>
      <c r="G42" s="4">
        <f>SUMIFS(Ausg._Liste!$H$4:$H$550,Ausg._Liste!$F$4:$F$550,910,Ausg._Liste!$G$4:$G$550,5)</f>
        <v>0</v>
      </c>
      <c r="H42" s="4">
        <f>SUMIFS(Ausg._Liste!$H$4:$H$550,Ausg._Liste!$F$4:$F$550,910,Ausg._Liste!$G$4:$G$550,6)</f>
        <v>0</v>
      </c>
      <c r="I42" s="4">
        <f>SUMIFS(Ausg._Liste!$H$4:$H$550,Ausg._Liste!$F$4:$F$550,910,Ausg._Liste!$G$4:$G$550,7)</f>
        <v>0</v>
      </c>
      <c r="J42" s="4">
        <f>SUMIFS(Ausg._Liste!$H$4:$H$550,Ausg._Liste!$F$4:$F$550,910,Ausg._Liste!$G$4:$G$550,8)</f>
        <v>0</v>
      </c>
      <c r="K42" s="4">
        <f>SUMIFS(Ausg._Liste!$H$4:$H$550,Ausg._Liste!$F$4:$F$550,910,Ausg._Liste!$G$4:$G$550,9)</f>
        <v>0</v>
      </c>
      <c r="L42" s="4">
        <f>SUMIFS(Ausg._Liste!$H$4:$H$550,Ausg._Liste!$F$4:$F$550,910,Ausg._Liste!$G$4:$G$550,10)</f>
        <v>0</v>
      </c>
      <c r="M42" s="4">
        <f>SUMIFS(Ausg._Liste!$H$4:$H$550,Ausg._Liste!$F$4:$F$550,910,Ausg._Liste!$G$4:$G$550,11)</f>
        <v>0</v>
      </c>
      <c r="N42" s="4">
        <f>SUMIFS(Ausg._Liste!$H$4:$H$550,Ausg._Liste!$F$4:$F$550,910,Ausg._Liste!$G$4:$G$550,12)</f>
        <v>0</v>
      </c>
      <c r="O42" s="4">
        <f t="shared" si="10"/>
        <v>0</v>
      </c>
    </row>
    <row r="43" spans="1:15" ht="18.75" x14ac:dyDescent="0.3">
      <c r="A43" s="24" t="s">
        <v>66</v>
      </c>
      <c r="B43" s="11">
        <v>1100</v>
      </c>
      <c r="C43" s="9">
        <f>SUM(C44:C45)</f>
        <v>0</v>
      </c>
      <c r="D43" s="9">
        <f t="shared" ref="D43:N43" si="11">SUM(D44:D45)</f>
        <v>0</v>
      </c>
      <c r="E43" s="9">
        <f t="shared" si="11"/>
        <v>0</v>
      </c>
      <c r="F43" s="9">
        <f t="shared" si="11"/>
        <v>0</v>
      </c>
      <c r="G43" s="9">
        <f t="shared" si="11"/>
        <v>0</v>
      </c>
      <c r="H43" s="9">
        <f t="shared" si="11"/>
        <v>0</v>
      </c>
      <c r="I43" s="9">
        <f t="shared" si="11"/>
        <v>0</v>
      </c>
      <c r="J43" s="9">
        <f t="shared" si="11"/>
        <v>0</v>
      </c>
      <c r="K43" s="9">
        <f t="shared" si="11"/>
        <v>0</v>
      </c>
      <c r="L43" s="9">
        <f t="shared" si="11"/>
        <v>0</v>
      </c>
      <c r="M43" s="9">
        <f t="shared" si="11"/>
        <v>0</v>
      </c>
      <c r="N43" s="9">
        <f t="shared" si="11"/>
        <v>0</v>
      </c>
      <c r="O43" s="9">
        <f>SUM(O44:O45)</f>
        <v>0</v>
      </c>
    </row>
    <row r="44" spans="1:15" x14ac:dyDescent="0.25">
      <c r="A44" t="s">
        <v>110</v>
      </c>
      <c r="B44">
        <v>1103</v>
      </c>
      <c r="C44" s="4">
        <f>SUMIFS(Ausg._Liste!$H$4:$H$550,Ausg._Liste!$F$4:$F$550,1103,Ausg._Liste!$G$4:$G$550,1)</f>
        <v>0</v>
      </c>
      <c r="D44" s="4">
        <f>SUMIFS(Ausg._Liste!$H$4:$H$550,Ausg._Liste!$F$4:$F$550,1103,Ausg._Liste!$G$4:$G$550,2)</f>
        <v>0</v>
      </c>
      <c r="E44" s="4">
        <f>SUMIFS(Ausg._Liste!$H$4:$H$550,Ausg._Liste!$F$4:$F$550,1103,Ausg._Liste!$G$4:$G$550,3)</f>
        <v>0</v>
      </c>
      <c r="F44" s="4">
        <f>SUMIFS(Ausg._Liste!$H$4:$H$550,Ausg._Liste!$F$4:$F$550,1103,Ausg._Liste!$G$4:$G$550,4)</f>
        <v>0</v>
      </c>
      <c r="G44" s="4">
        <f>SUMIFS(Ausg._Liste!$H$4:$H$550,Ausg._Liste!$F$4:$F$550,1103,Ausg._Liste!$G$4:$G$550,5)</f>
        <v>0</v>
      </c>
      <c r="H44" s="4">
        <f>SUMIFS(Ausg._Liste!$H$4:$H$550,Ausg._Liste!$F$4:$F$550,1103,Ausg._Liste!$G$4:$G$550,6)</f>
        <v>0</v>
      </c>
      <c r="I44" s="4">
        <f>SUMIFS(Ausg._Liste!$H$4:$H$550,Ausg._Liste!$F$4:$F$550,1103,Ausg._Liste!$G$4:$G$550,7)</f>
        <v>0</v>
      </c>
      <c r="J44" s="4">
        <f>SUMIFS(Ausg._Liste!$H$4:$H$550,Ausg._Liste!$F$4:$F$550,1103,Ausg._Liste!$G$4:$G$550,8)</f>
        <v>0</v>
      </c>
      <c r="K44" s="4">
        <f>SUMIFS(Ausg._Liste!$H$4:$H$550,Ausg._Liste!$F$4:$F$550,1103,Ausg._Liste!$G$4:$G$550,9)</f>
        <v>0</v>
      </c>
      <c r="L44" s="4">
        <f>SUMIFS(Ausg._Liste!$H$4:$H$550,Ausg._Liste!$F$4:$F$550,1103,Ausg._Liste!$G$4:$G$550,10)</f>
        <v>0</v>
      </c>
      <c r="M44" s="4">
        <f>SUMIFS(Ausg._Liste!$H$4:$H$550,Ausg._Liste!$F$4:$F$550,1103,Ausg._Liste!$G$4:$G$550,11)</f>
        <v>0</v>
      </c>
      <c r="N44" s="4">
        <f>SUMIFS(Ausg._Liste!$H$4:$H$550,Ausg._Liste!$F$4:$F$550,1103,Ausg._Liste!$G$4:$G$550,12)</f>
        <v>0</v>
      </c>
      <c r="O44" s="4">
        <f>SUM(C44:N44)</f>
        <v>0</v>
      </c>
    </row>
    <row r="45" spans="1:15" x14ac:dyDescent="0.25">
      <c r="A45" t="s">
        <v>111</v>
      </c>
      <c r="B45">
        <v>1104</v>
      </c>
      <c r="C45" s="4">
        <f>SUMIFS(Ausg._Liste!$H$4:$H$550,Ausg._Liste!$F$4:$F$550,1104,Ausg._Liste!$G$4:$G$550,1)</f>
        <v>0</v>
      </c>
      <c r="D45" s="4">
        <f>SUMIFS(Ausg._Liste!$H$4:$H$550,Ausg._Liste!$F$4:$F$550,1104,Ausg._Liste!$G$4:$G$550,2)</f>
        <v>0</v>
      </c>
      <c r="E45" s="4">
        <f>SUMIFS(Ausg._Liste!$H$4:$H$550,Ausg._Liste!$F$4:$F$550,1104,Ausg._Liste!$G$4:$G$550,3)</f>
        <v>0</v>
      </c>
      <c r="F45" s="4">
        <f>SUMIFS(Ausg._Liste!$H$4:$H$550,Ausg._Liste!$F$4:$F$550,1104,Ausg._Liste!$G$4:$G$550,4)</f>
        <v>0</v>
      </c>
      <c r="G45" s="4">
        <f>SUMIFS(Ausg._Liste!$H$4:$H$550,Ausg._Liste!$F$4:$F$550,1104,Ausg._Liste!$G$4:$G$550,5)</f>
        <v>0</v>
      </c>
      <c r="H45" s="4">
        <f>SUMIFS(Ausg._Liste!$H$4:$H$550,Ausg._Liste!$F$4:$F$550,1104,Ausg._Liste!$G$4:$G$550,6)</f>
        <v>0</v>
      </c>
      <c r="I45" s="4">
        <f>SUMIFS(Ausg._Liste!$H$4:$H$550,Ausg._Liste!$F$4:$F$550,1104,Ausg._Liste!$G$4:$G$550,7)</f>
        <v>0</v>
      </c>
      <c r="J45" s="4">
        <f>SUMIFS(Ausg._Liste!$H$4:$H$550,Ausg._Liste!$F$4:$F$550,1104,Ausg._Liste!$G$4:$G$550,8)</f>
        <v>0</v>
      </c>
      <c r="K45" s="4">
        <f>SUMIFS(Ausg._Liste!$H$4:$H$550,Ausg._Liste!$F$4:$F$550,1104,Ausg._Liste!$G$4:$G$550,9)</f>
        <v>0</v>
      </c>
      <c r="L45" s="4">
        <f>SUMIFS(Ausg._Liste!$H$4:$H$550,Ausg._Liste!$F$4:$F$550,1104,Ausg._Liste!$G$4:$G$550,10)</f>
        <v>0</v>
      </c>
      <c r="M45" s="4">
        <f>SUMIFS(Ausg._Liste!$H$4:$H$550,Ausg._Liste!$F$4:$F$550,1104,Ausg._Liste!$G$4:$G$550,11)</f>
        <v>0</v>
      </c>
      <c r="N45" s="4">
        <f>SUMIFS(Ausg._Liste!$H$4:$H$550,Ausg._Liste!$F$4:$F$550,1104,Ausg._Liste!$G$4:$G$550,12)</f>
        <v>0</v>
      </c>
      <c r="O45" s="4">
        <f>SUM(C45:N45)</f>
        <v>0</v>
      </c>
    </row>
    <row r="46" spans="1:15" ht="18.75" x14ac:dyDescent="0.3">
      <c r="A46" s="24" t="s">
        <v>265</v>
      </c>
      <c r="B46" s="11">
        <v>1500</v>
      </c>
      <c r="C46" s="9">
        <f>SUM(C47:C50)</f>
        <v>0</v>
      </c>
      <c r="D46" s="9">
        <f t="shared" ref="D46:O46" si="12">SUM(D47:D50)</f>
        <v>0</v>
      </c>
      <c r="E46" s="9">
        <f t="shared" si="12"/>
        <v>0</v>
      </c>
      <c r="F46" s="9">
        <f t="shared" si="12"/>
        <v>0</v>
      </c>
      <c r="G46" s="9">
        <f t="shared" si="12"/>
        <v>0</v>
      </c>
      <c r="H46" s="9">
        <f t="shared" si="12"/>
        <v>0</v>
      </c>
      <c r="I46" s="9">
        <f t="shared" si="12"/>
        <v>0</v>
      </c>
      <c r="J46" s="9">
        <f t="shared" si="12"/>
        <v>0</v>
      </c>
      <c r="K46" s="9">
        <f t="shared" si="12"/>
        <v>0</v>
      </c>
      <c r="L46" s="9">
        <f t="shared" si="12"/>
        <v>0</v>
      </c>
      <c r="M46" s="9">
        <f t="shared" si="12"/>
        <v>0</v>
      </c>
      <c r="N46" s="9">
        <f t="shared" si="12"/>
        <v>0</v>
      </c>
      <c r="O46" s="9">
        <f t="shared" si="12"/>
        <v>0</v>
      </c>
    </row>
    <row r="47" spans="1:15" x14ac:dyDescent="0.25">
      <c r="A47" t="s">
        <v>263</v>
      </c>
      <c r="B47">
        <v>1501</v>
      </c>
      <c r="C47" s="4">
        <f>SUMIFS(Ausg._Liste!$H$4:$H$550,Ausg._Liste!$F$4:$F$550,1501,Ausg._Liste!$G$4:$G$550,1)</f>
        <v>0</v>
      </c>
      <c r="D47" s="4">
        <f>SUMIFS(Ausg._Liste!$H$4:$H$550,Ausg._Liste!$F$4:$F$550,1502,Ausg._Liste!$G$4:$G$550,2)</f>
        <v>0</v>
      </c>
      <c r="E47" s="4">
        <f>SUMIFS(Ausg._Liste!$H$4:$H$550,Ausg._Liste!$F$4:$F$550,1502,Ausg._Liste!$G$4:$G$550,3)</f>
        <v>0</v>
      </c>
      <c r="F47" s="4">
        <f>SUMIFS(Ausg._Liste!$H$4:$H$550,Ausg._Liste!$F$4:$F$550,1502,Ausg._Liste!$G$4:$G$550,4)</f>
        <v>0</v>
      </c>
      <c r="G47" s="4">
        <f>SUMIFS(Ausg._Liste!$H$4:$H$550,Ausg._Liste!$F$4:$F$550,1502,Ausg._Liste!$G$4:$G$550,5)</f>
        <v>0</v>
      </c>
      <c r="H47" s="4">
        <f>SUMIFS(Ausg._Liste!$H$4:$H$550,Ausg._Liste!$F$4:$F$550,1502,Ausg._Liste!$G$4:$G$550,6)</f>
        <v>0</v>
      </c>
      <c r="I47" s="4">
        <f>SUMIFS(Ausg._Liste!$H$4:$H$550,Ausg._Liste!$F$4:$F$550,1502,Ausg._Liste!$G$4:$G$550,7)</f>
        <v>0</v>
      </c>
      <c r="J47" s="4">
        <f>SUMIFS(Ausg._Liste!$H$4:$H$550,Ausg._Liste!$F$4:$F$550,1502,Ausg._Liste!$G$4:$G$550,8)</f>
        <v>0</v>
      </c>
      <c r="K47" s="4">
        <f>SUMIFS(Ausg._Liste!$H$4:$H$550,Ausg._Liste!$F$4:$F$550,1502,Ausg._Liste!$G$4:$G$550,9)</f>
        <v>0</v>
      </c>
      <c r="L47" s="4">
        <f>SUMIFS(Ausg._Liste!$H$4:$H$550,Ausg._Liste!$F$4:$F$550,1502,Ausg._Liste!$G$4:$G$550,10)</f>
        <v>0</v>
      </c>
      <c r="M47" s="4">
        <f>SUMIFS(Ausg._Liste!$H$4:$H$550,Ausg._Liste!$F$4:$F$550,1502,Ausg._Liste!$G$4:$G$550,11)</f>
        <v>0</v>
      </c>
      <c r="N47" s="4">
        <f>SUMIFS(Ausg._Liste!$H$4:$H$550,Ausg._Liste!$F$4:$F$550,1502,Ausg._Liste!$G$4:$G$550,12)</f>
        <v>0</v>
      </c>
      <c r="O47" s="4">
        <f>SUM(C47:N47)</f>
        <v>0</v>
      </c>
    </row>
    <row r="48" spans="1:15" x14ac:dyDescent="0.25">
      <c r="A48" t="s">
        <v>262</v>
      </c>
      <c r="B48">
        <v>1502</v>
      </c>
      <c r="C48" s="4">
        <f>SUMIFS(Ausg._Liste!$H$4:$H$550,Ausg._Liste!$F$4:$F$550,1502,Ausg._Liste!$G$4:$G$550,1)</f>
        <v>0</v>
      </c>
      <c r="D48" s="4">
        <f>SUMIFS(Ausg._Liste!$H$4:$H$550,Ausg._Liste!$F$4:$F$550,1502,Ausg._Liste!$G$4:$G$550,2)</f>
        <v>0</v>
      </c>
      <c r="E48" s="4">
        <f>SUMIFS(Ausg._Liste!$H$4:$H$550,Ausg._Liste!$F$4:$F$550,1502,Ausg._Liste!$G$4:$G$550,3)</f>
        <v>0</v>
      </c>
      <c r="F48" s="4">
        <f>SUMIFS(Ausg._Liste!$H$4:$H$550,Ausg._Liste!$F$4:$F$550,1502,Ausg._Liste!$G$4:$G$550,4)</f>
        <v>0</v>
      </c>
      <c r="G48" s="4">
        <f>SUMIFS(Ausg._Liste!$H$4:$H$550,Ausg._Liste!$F$4:$F$550,1502,Ausg._Liste!$G$4:$G$550,5)</f>
        <v>0</v>
      </c>
      <c r="H48" s="4">
        <f>SUMIFS(Ausg._Liste!$H$4:$H$550,Ausg._Liste!$F$4:$F$550,1502,Ausg._Liste!$G$4:$G$550,6)</f>
        <v>0</v>
      </c>
      <c r="I48" s="4">
        <f>SUMIFS(Ausg._Liste!$H$4:$H$550,Ausg._Liste!$F$4:$F$550,1502,Ausg._Liste!$G$4:$G$550,7)</f>
        <v>0</v>
      </c>
      <c r="J48" s="4">
        <f>SUMIFS(Ausg._Liste!$H$4:$H$550,Ausg._Liste!$F$4:$F$550,1502,Ausg._Liste!$G$4:$G$550,8)</f>
        <v>0</v>
      </c>
      <c r="K48" s="4">
        <f>SUMIFS(Ausg._Liste!$H$4:$H$550,Ausg._Liste!$F$4:$F$550,1502,Ausg._Liste!$G$4:$G$550,9)</f>
        <v>0</v>
      </c>
      <c r="L48" s="4">
        <f>SUMIFS(Ausg._Liste!$H$4:$H$550,Ausg._Liste!$F$4:$F$550,1502,Ausg._Liste!$G$4:$G$550,10)</f>
        <v>0</v>
      </c>
      <c r="M48" s="4">
        <f>SUMIFS(Ausg._Liste!$H$4:$H$550,Ausg._Liste!$F$4:$F$550,1502,Ausg._Liste!$G$4:$G$550,11)</f>
        <v>0</v>
      </c>
      <c r="N48" s="4">
        <f>SUMIFS(Ausg._Liste!$H$4:$H$550,Ausg._Liste!$F$4:$F$550,1502,Ausg._Liste!$G$4:$G$550,12)</f>
        <v>0</v>
      </c>
      <c r="O48" s="4">
        <f t="shared" ref="O48:O50" si="13">SUM(C48:N48)</f>
        <v>0</v>
      </c>
    </row>
    <row r="49" spans="1:15" x14ac:dyDescent="0.25">
      <c r="A49" t="s">
        <v>264</v>
      </c>
      <c r="B49">
        <v>1503</v>
      </c>
      <c r="C49" s="4">
        <f>SUMIFS(Ausg._Liste!$H$4:$H$550,Ausg._Liste!$F$4:$F$550,1503,Ausg._Liste!$G$4:$G$550,1)</f>
        <v>0</v>
      </c>
      <c r="D49" s="4">
        <f>SUMIFS(Ausg._Liste!$H$4:$H$550,Ausg._Liste!$F$4:$F$550,1503,Ausg._Liste!$G$4:$G$550,2)</f>
        <v>0</v>
      </c>
      <c r="E49" s="4">
        <f>SUMIFS(Ausg._Liste!$H$4:$H$550,Ausg._Liste!$F$4:$F$550,1503,Ausg._Liste!$G$4:$G$550,3)</f>
        <v>0</v>
      </c>
      <c r="F49" s="4">
        <f>SUMIFS(Ausg._Liste!$H$4:$H$550,Ausg._Liste!$F$4:$F$550,1503,Ausg._Liste!$G$4:$G$550,4)</f>
        <v>0</v>
      </c>
      <c r="G49" s="4">
        <f>SUMIFS(Ausg._Liste!$H$4:$H$550,Ausg._Liste!$F$4:$F$550,1503,Ausg._Liste!$G$4:$G$550,5)</f>
        <v>0</v>
      </c>
      <c r="H49" s="4">
        <f>SUMIFS(Ausg._Liste!$H$4:$H$550,Ausg._Liste!$F$4:$F$550,1503,Ausg._Liste!$G$4:$G$550,6)</f>
        <v>0</v>
      </c>
      <c r="I49" s="4">
        <f>SUMIFS(Ausg._Liste!$H$4:$H$550,Ausg._Liste!$F$4:$F$550,1503,Ausg._Liste!$G$4:$G$550,7)</f>
        <v>0</v>
      </c>
      <c r="J49" s="4">
        <f>SUMIFS(Ausg._Liste!$H$4:$H$550,Ausg._Liste!$F$4:$F$550,1503,Ausg._Liste!$G$4:$G$550,8)</f>
        <v>0</v>
      </c>
      <c r="K49" s="4">
        <f>SUMIFS(Ausg._Liste!$H$4:$H$550,Ausg._Liste!$F$4:$F$550,1503,Ausg._Liste!$G$4:$G$550,9)</f>
        <v>0</v>
      </c>
      <c r="L49" s="4">
        <f>SUMIFS(Ausg._Liste!$H$4:$H$550,Ausg._Liste!$F$4:$F$550,1503,Ausg._Liste!$G$4:$G$550,10)</f>
        <v>0</v>
      </c>
      <c r="M49" s="4">
        <f>SUMIFS(Ausg._Liste!$H$4:$H$550,Ausg._Liste!$F$4:$F$550,1503,Ausg._Liste!$G$4:$G$550,11)</f>
        <v>0</v>
      </c>
      <c r="N49" s="4">
        <f>SUMIFS(Ausg._Liste!$H$4:$H$550,Ausg._Liste!$F$4:$F$550,1503,Ausg._Liste!$G$4:$G$550,12)</f>
        <v>0</v>
      </c>
      <c r="O49" s="4">
        <f t="shared" si="13"/>
        <v>0</v>
      </c>
    </row>
    <row r="50" spans="1:15" x14ac:dyDescent="0.25">
      <c r="A50" t="s">
        <v>266</v>
      </c>
      <c r="B50">
        <v>1504</v>
      </c>
      <c r="C50" s="4">
        <f>SUMIFS(Ausg._Liste!$H$4:$H$550,Ausg._Liste!$F$4:$F$550,1504,Ausg._Liste!$G$4:$G$550,1)</f>
        <v>0</v>
      </c>
      <c r="D50" s="4">
        <f>SUMIFS(Ausg._Liste!$H$4:$H$550,Ausg._Liste!$F$4:$F$550,1504,Ausg._Liste!$G$4:$G$550,2)</f>
        <v>0</v>
      </c>
      <c r="E50" s="4">
        <f>SUMIFS(Ausg._Liste!$H$4:$H$550,Ausg._Liste!$F$4:$F$550,1504,Ausg._Liste!$G$4:$G$550,3)</f>
        <v>0</v>
      </c>
      <c r="F50" s="4">
        <f>SUMIFS(Ausg._Liste!$H$4:$H$550,Ausg._Liste!$F$4:$F$550,1504,Ausg._Liste!$G$4:$G$550,4)</f>
        <v>0</v>
      </c>
      <c r="G50" s="4">
        <f>SUMIFS(Ausg._Liste!$H$4:$H$550,Ausg._Liste!$F$4:$F$550,1504,Ausg._Liste!$G$4:$G$550,5)</f>
        <v>0</v>
      </c>
      <c r="H50" s="4">
        <f>SUMIFS(Ausg._Liste!$H$4:$H$550,Ausg._Liste!$F$4:$F$550,1504,Ausg._Liste!$G$4:$G$550,6)</f>
        <v>0</v>
      </c>
      <c r="I50" s="4">
        <f>SUMIFS(Ausg._Liste!$H$4:$H$550,Ausg._Liste!$F$4:$F$550,1504,Ausg._Liste!$G$4:$G$550,7)</f>
        <v>0</v>
      </c>
      <c r="J50" s="4">
        <f>SUMIFS(Ausg._Liste!$H$4:$H$550,Ausg._Liste!$F$4:$F$550,1504,Ausg._Liste!$G$4:$G$550,8)</f>
        <v>0</v>
      </c>
      <c r="K50" s="4">
        <f>SUMIFS(Ausg._Liste!$H$4:$H$550,Ausg._Liste!$F$4:$F$550,1504,Ausg._Liste!$G$4:$G$550,9)</f>
        <v>0</v>
      </c>
      <c r="L50" s="4">
        <f>SUMIFS(Ausg._Liste!$H$4:$H$550,Ausg._Liste!$F$4:$F$550,1504,Ausg._Liste!$G$4:$G$550,10)</f>
        <v>0</v>
      </c>
      <c r="M50" s="4">
        <f>SUMIFS(Ausg._Liste!$H$4:$H$550,Ausg._Liste!$F$4:$F$550,1504,Ausg._Liste!$G$4:$G$550,11)</f>
        <v>0</v>
      </c>
      <c r="N50" s="4">
        <f>SUMIFS(Ausg._Liste!$H$4:$H$550,Ausg._Liste!$F$4:$F$550,1504,Ausg._Liste!$G$4:$G$550,12)</f>
        <v>0</v>
      </c>
      <c r="O50" s="4">
        <f t="shared" si="13"/>
        <v>0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1"/>
  <dimension ref="A1:Q1335"/>
  <sheetViews>
    <sheetView workbookViewId="0">
      <pane ySplit="17" topLeftCell="A18" activePane="bottomLeft" state="frozen"/>
      <selection pane="bottomLeft" activeCell="O4" sqref="O4"/>
    </sheetView>
  </sheetViews>
  <sheetFormatPr baseColWidth="10" defaultRowHeight="15" x14ac:dyDescent="0.25"/>
  <cols>
    <col min="2" max="2" width="10.140625" customWidth="1"/>
    <col min="3" max="3" width="14.85546875" customWidth="1"/>
    <col min="5" max="6" width="15" customWidth="1"/>
    <col min="7" max="7" width="17.85546875" customWidth="1"/>
    <col min="8" max="8" width="13.85546875" customWidth="1"/>
    <col min="9" max="11" width="13.85546875" style="3" customWidth="1"/>
    <col min="12" max="12" width="14.7109375" style="3" customWidth="1"/>
    <col min="13" max="13" width="14" customWidth="1"/>
    <col min="14" max="14" width="13.85546875" customWidth="1"/>
  </cols>
  <sheetData>
    <row r="1" spans="1:15" ht="26.25" x14ac:dyDescent="0.4">
      <c r="A1" s="91" t="s">
        <v>140</v>
      </c>
      <c r="B1" s="88"/>
      <c r="C1" s="88"/>
      <c r="D1" s="88"/>
      <c r="E1" s="88"/>
      <c r="F1" s="88"/>
      <c r="G1" s="81" t="s">
        <v>133</v>
      </c>
      <c r="H1" s="81"/>
      <c r="I1" s="130" t="s">
        <v>346</v>
      </c>
      <c r="J1" s="82"/>
      <c r="K1" s="82"/>
      <c r="L1" s="82"/>
      <c r="M1" s="80"/>
      <c r="O1" s="83"/>
    </row>
    <row r="2" spans="1:15" ht="30" x14ac:dyDescent="0.25">
      <c r="A2" s="145" t="s">
        <v>117</v>
      </c>
      <c r="B2" s="145" t="s">
        <v>229</v>
      </c>
      <c r="C2" s="145" t="s">
        <v>129</v>
      </c>
      <c r="D2" s="145" t="s">
        <v>142</v>
      </c>
      <c r="E2" s="145" t="s">
        <v>143</v>
      </c>
      <c r="F2" s="145" t="s">
        <v>228</v>
      </c>
      <c r="G2" s="146" t="s">
        <v>233</v>
      </c>
      <c r="H2" s="145" t="s">
        <v>231</v>
      </c>
      <c r="I2" s="147" t="s">
        <v>232</v>
      </c>
      <c r="J2" s="147" t="s">
        <v>362</v>
      </c>
      <c r="K2" s="147" t="s">
        <v>368</v>
      </c>
      <c r="L2" s="147" t="s">
        <v>373</v>
      </c>
      <c r="M2" s="145" t="s">
        <v>144</v>
      </c>
      <c r="O2" s="5"/>
    </row>
    <row r="3" spans="1:15" x14ac:dyDescent="0.25">
      <c r="A3" t="s">
        <v>7</v>
      </c>
      <c r="B3" s="1"/>
      <c r="C3" s="75">
        <f>SUMIFS(Ausg._Liste!H4:H250,Ausg._Liste!B4:B250,"Kreditkarte",Ausg._Liste!G4:G250,1)</f>
        <v>0</v>
      </c>
      <c r="D3" s="2">
        <f t="array" ref="D3">SUMIFS($D$18:$D$2045,$I$18:$I$2045,705,$J$18:$J$2045,1)</f>
        <v>0</v>
      </c>
      <c r="E3" s="2">
        <f>SUMIFS($D$18:$D$2045,$I$18:$I$2045,401,$J$18:$J$2045,1)</f>
        <v>0</v>
      </c>
      <c r="F3" s="2">
        <f>SUMIFS($D$18:$D$2045,$I$18:$I$2045,402,$J$18:$J$2045,1)</f>
        <v>0</v>
      </c>
      <c r="G3" s="2">
        <f>SUMIFS($D$18:$D$2045,$I$18:$I$2045,905,$J$18:$J$2045,1)</f>
        <v>0</v>
      </c>
      <c r="H3" s="2">
        <f>SUMIFS($D$18:$D$2045,$I$18:$I$2045,805,$J$18:$J$2045,1)</f>
        <v>0</v>
      </c>
      <c r="I3" s="2">
        <f>SUMIFS($D$18:$D$2045,$I$18:$I$2045,804,$J$18:$J$2045,1)</f>
        <v>0</v>
      </c>
      <c r="J3" s="2">
        <f>SUMIFS($D$18:$D$2045,$I$18:$I$2045,706,$J$18:$J$2045,1)</f>
        <v>0</v>
      </c>
      <c r="K3" s="2">
        <f>SUMIFS($D$18:$D$2045,$I$18:$I$2045,1407,$J$18:$J$2045,1)</f>
        <v>0</v>
      </c>
      <c r="L3" s="2">
        <f>SUMIFS($D$18:$D$2045,$I$18:$I$2045,1402,$J$18:$J$2045,1)</f>
        <v>0</v>
      </c>
      <c r="M3" s="26">
        <f>SUM(D3:L3)</f>
        <v>0</v>
      </c>
    </row>
    <row r="4" spans="1:15" x14ac:dyDescent="0.25">
      <c r="A4" t="s">
        <v>8</v>
      </c>
      <c r="B4" s="1"/>
      <c r="C4" s="75">
        <f>SUMIFS(Ausg._Liste!$H$4:$H$250,Ausg._Liste!$B$4:$B$250,"Kreditkarte",Ausg._Liste!$G$4:$G$250,2)</f>
        <v>0</v>
      </c>
      <c r="D4" s="2">
        <f>SUMIFS($D$18:$D$2045,$I$18:$I$2045,705,$J$18:$J$2045,2)</f>
        <v>0</v>
      </c>
      <c r="E4" s="2">
        <f>SUMIFS($D$18:$D$2045,$I$18:$I$2045,401,$J$18:$J$2045,2)</f>
        <v>0</v>
      </c>
      <c r="F4" s="2">
        <f>SUMIFS($D$18:$D$2045,$I$18:$I$2045,402,$J$18:$J$2045,2)</f>
        <v>0</v>
      </c>
      <c r="G4" s="2">
        <f>SUMIFS($D$18:$D$2045,$I$18:$I$2045,905,$J$18:$J$2045,2)</f>
        <v>0</v>
      </c>
      <c r="H4" s="2">
        <f>SUMIFS($D$18:$D$2045,$I$18:$I$2045,805,$J$18:$J$2045,2)</f>
        <v>0</v>
      </c>
      <c r="I4" s="2">
        <f>SUMIFS($D$18:$D$2045,$I$18:$I$2045,804,$J$18:$J$2045,2)</f>
        <v>0</v>
      </c>
      <c r="J4" s="2">
        <f>SUMIFS($D$18:$D$2045,$I$18:$I$2045,706,$J$18:$J$2045,2)</f>
        <v>0</v>
      </c>
      <c r="K4" s="2">
        <f>SUMIFS($D$18:$D$2045,$I$18:$I$2045,1407,$J$18:$J$2045,2)</f>
        <v>0</v>
      </c>
      <c r="L4" s="2">
        <f>SUMIFS($D$18:$D$2045,$I$18:$I$2045,"",$J$18:$J$2045,2)</f>
        <v>0</v>
      </c>
      <c r="M4" s="26">
        <f t="shared" ref="M4:M14" si="0">SUM(D4:L4)</f>
        <v>0</v>
      </c>
    </row>
    <row r="5" spans="1:15" x14ac:dyDescent="0.25">
      <c r="A5" t="s">
        <v>9</v>
      </c>
      <c r="B5" s="144"/>
      <c r="C5" s="75">
        <f>SUMIFS(Ausg._Liste!$H$4:$H$250,Ausg._Liste!$B$4:$B$250,"Kreditkarte",Ausg._Liste!$G$4:$G$250,3)</f>
        <v>0</v>
      </c>
      <c r="D5" s="2">
        <f>SUMIFS($D$18:$D$2045,$I$18:$I$2045,705,$J$18:$J$2045,3)</f>
        <v>0</v>
      </c>
      <c r="E5" s="2">
        <f>SUMIFS($D$18:$D$2045,$I$18:$I$2045,401,$J$18:$J$2045,3)</f>
        <v>0</v>
      </c>
      <c r="F5" s="2">
        <f>SUMIFS($D$18:$D$2045,$I$18:$I$2045,402,$J$18:$J$2045,3)</f>
        <v>0</v>
      </c>
      <c r="G5" s="2">
        <f>SUMIFS($D$18:$D$2045,$I$18:$I$2045,905,$J$18:$J$2045,3)</f>
        <v>0</v>
      </c>
      <c r="H5" s="2">
        <f>SUMIFS($D$18:$D$2045,$I$18:$I$2045,805,$J$18:$J$2045,3)</f>
        <v>0</v>
      </c>
      <c r="I5" s="2">
        <f>SUMIFS($D$18:$D$2045,$I$18:$I$2045,804,$J$18:$J$2045,3)</f>
        <v>0</v>
      </c>
      <c r="J5" s="2">
        <f>SUMIFS($D$18:$D$2045,$I$18:$I$2045,706,$J$18:$J$2045,3)</f>
        <v>0</v>
      </c>
      <c r="K5" s="2">
        <f>SUMIFS($D$18:$D$2045,$I$18:$I$2045,1407,$J$18:$J$2045,13)</f>
        <v>0</v>
      </c>
      <c r="L5" s="2">
        <f>SUMIFS($D$18:$D$2045,$I$18:$I$2045,"",$J$18:$J$2045,3)</f>
        <v>0</v>
      </c>
      <c r="M5" s="26">
        <f t="shared" si="0"/>
        <v>0</v>
      </c>
    </row>
    <row r="6" spans="1:15" x14ac:dyDescent="0.25">
      <c r="A6" t="s">
        <v>10</v>
      </c>
      <c r="B6" s="1"/>
      <c r="C6" s="75">
        <f>SUMIFS(Ausg._Liste!$H$4:$H$250,Ausg._Liste!$B$4:$B$250,"Kreditkarte",Ausg._Liste!$G$4:$G$250,4)</f>
        <v>0</v>
      </c>
      <c r="D6" s="2">
        <f>SUMIFS($D$18:$D$2045,$I$18:$I$2045,705,$J$18:$J$2045,4)</f>
        <v>0</v>
      </c>
      <c r="E6" s="2">
        <f>SUMIFS($D$18:$D$2045,$I$18:$I$2045,401,$J$18:$J$2045,4)</f>
        <v>0</v>
      </c>
      <c r="F6" s="2">
        <f>SUMIFS($D$18:$D$2045,$I$18:$I$2045,402,$J$18:$J$2045,4)</f>
        <v>0</v>
      </c>
      <c r="G6" s="2">
        <f>SUMIFS($D$18:$D$2045,$I$18:$I$2045,905,$J$18:$J$2045,4)</f>
        <v>0</v>
      </c>
      <c r="H6" s="2">
        <f>SUMIFS($D$18:$D$2045,$I$18:$I$2045,805,$J$18:$J$2045,4)</f>
        <v>0</v>
      </c>
      <c r="I6" s="2">
        <f>SUMIFS($D$18:$D$2045,$I$18:$I$2045,804,$J$18:$J$2045,4)</f>
        <v>0</v>
      </c>
      <c r="J6" s="2">
        <f>SUMIFS($D$18:$D$2045,$I$18:$I$2045,706,$J$18:$J$2045,4)</f>
        <v>0</v>
      </c>
      <c r="K6" s="2">
        <f>SUMIFS($D$18:$D$2045,$I$18:$I$2045,1407,$J$18:$J$2045,4)</f>
        <v>0</v>
      </c>
      <c r="L6" s="2">
        <f>SUMIFS($D$18:$D$2045,$I$18:$I$2045,"",$J$18:$J$2045,4)</f>
        <v>0</v>
      </c>
      <c r="M6" s="26">
        <f t="shared" si="0"/>
        <v>0</v>
      </c>
    </row>
    <row r="7" spans="1:15" x14ac:dyDescent="0.25">
      <c r="A7" t="s">
        <v>11</v>
      </c>
      <c r="B7" s="1"/>
      <c r="C7" s="75">
        <f>SUMIFS(Ausg._Liste!$H$4:$H$250,Ausg._Liste!$B$4:$B$250,"Kreditkarte",Ausg._Liste!$G$4:$G$250,5)</f>
        <v>0</v>
      </c>
      <c r="D7" s="2">
        <f>SUMIFS($D$18:$D$2045,$I$18:$I$2045,705,$J$18:$J$2045,5)</f>
        <v>0</v>
      </c>
      <c r="E7" s="2">
        <f>SUMIFS($D$18:$D$2045,$I$18:$I$2045,401,$J$18:$J$2045,5)</f>
        <v>0</v>
      </c>
      <c r="F7" s="2">
        <f>SUMIFS($D$18:$D$2045,$I$18:$I$2045,402,$J$18:$J$2045,5)</f>
        <v>0</v>
      </c>
      <c r="G7" s="2">
        <f>SUMIFS($D$18:$D$2045,$I$18:$I$2045,905,$J$18:$J$2045,5)</f>
        <v>0</v>
      </c>
      <c r="H7" s="2">
        <f>SUMIFS($D$18:$D$2045,$I$18:$I$2045,805,$J$18:$J$2045,5)</f>
        <v>0</v>
      </c>
      <c r="I7" s="2">
        <f>SUMIFS($D$18:$D$2045,$I$18:$I$2045,804,$J$18:$J$2045,5)</f>
        <v>0</v>
      </c>
      <c r="J7" s="2">
        <f>SUMIFS($D$18:$D$2045,$I$18:$I$2045,706,$J$18:$J$2045,5)</f>
        <v>0</v>
      </c>
      <c r="K7" s="2">
        <f>SUMIFS($D$18:$D$2045,$I$18:$I$2045,1407,$J$18:$J$2045,5)</f>
        <v>0</v>
      </c>
      <c r="L7" s="2">
        <f>SUMIFS($D$18:$D$2045,$I$18:$I$2045,"",$J$18:$J$2045,5)</f>
        <v>0</v>
      </c>
      <c r="M7" s="26">
        <f t="shared" si="0"/>
        <v>0</v>
      </c>
    </row>
    <row r="8" spans="1:15" x14ac:dyDescent="0.25">
      <c r="A8" t="s">
        <v>12</v>
      </c>
      <c r="B8" s="1"/>
      <c r="C8" s="75">
        <f>SUMIFS(Ausg._Liste!$H$4:$H$250,Ausg._Liste!$B$4:$B$250,"Kreditkarte",Ausg._Liste!$G$4:$G$250,6)</f>
        <v>0</v>
      </c>
      <c r="D8" s="2">
        <f>SUMIFS($D$18:$D$2045,$I$18:$I$2045,705,$J$18:$J$2045,6)</f>
        <v>0</v>
      </c>
      <c r="E8" s="2">
        <f>SUMIFS($D$18:$D$2045,$I$18:$I$2045,401,$J$18:$J$2045,6)</f>
        <v>0</v>
      </c>
      <c r="F8" s="2">
        <f>SUMIFS($D$18:$D$2045,$I$18:$I$2045,402,$J$18:$J$2045,6)</f>
        <v>0</v>
      </c>
      <c r="G8" s="2">
        <f>SUMIFS($D$18:$D$2045,$I$18:$I$2045,905,$J$18:$J$2045,6)</f>
        <v>0</v>
      </c>
      <c r="H8" s="2">
        <f>SUMIFS($D$18:$D$2045,$I$18:$I$2045,805,$J$18:$J$2045,6)</f>
        <v>0</v>
      </c>
      <c r="I8" s="2">
        <f>SUMIFS($D$18:$D$2045,$I$18:$I$2045,804,$J$18:$J$2045,6)</f>
        <v>0</v>
      </c>
      <c r="J8" s="2">
        <f>SUMIFS($D$18:$D$2045,$I$18:$I$2045,706,$J$18:$J$2045,16)</f>
        <v>0</v>
      </c>
      <c r="K8" s="2">
        <f>SUMIFS($D$18:$D$2045,$I$18:$I$2045,1407,$J$18:$J$2045,6)</f>
        <v>0</v>
      </c>
      <c r="L8" s="2">
        <f>SUMIFS($D$18:$D$2045,$I$18:$I$2045,"",$J$18:$J$2045,6)</f>
        <v>0</v>
      </c>
      <c r="M8" s="26">
        <f t="shared" si="0"/>
        <v>0</v>
      </c>
    </row>
    <row r="9" spans="1:15" x14ac:dyDescent="0.25">
      <c r="A9" t="s">
        <v>13</v>
      </c>
      <c r="B9" s="1"/>
      <c r="C9" s="75">
        <f>SUMIFS(Ausg._Liste!$H$4:$H$250,Ausg._Liste!$B$4:$B$250,"Kreditkarte",Ausg._Liste!$G$4:$G$250,7)</f>
        <v>0</v>
      </c>
      <c r="D9" s="2">
        <f>SUMIFS($D$18:$D$2045,$I$18:$I$2045,705,$J$18:$J$2045,7)</f>
        <v>0</v>
      </c>
      <c r="E9" s="2">
        <f>SUMIFS($D$18:$D$2045,$I$18:$I$2045,401,$J$18:$J$2045,7)</f>
        <v>0</v>
      </c>
      <c r="F9" s="2">
        <f>SUMIFS($D$18:$D$2045,$I$18:$I$2045,402,$J$18:$J$2045,7)</f>
        <v>0</v>
      </c>
      <c r="G9" s="2">
        <f>SUMIFS($D$18:$D$2045,$I$18:$I$2045,905,$J$18:$J$2045,7)</f>
        <v>0</v>
      </c>
      <c r="H9" s="2">
        <f>SUMIFS($D$18:$D$2045,$I$18:$I$2045,805,$J$18:$J$2045,7)</f>
        <v>0</v>
      </c>
      <c r="I9" s="2">
        <f>SUMIFS($D$18:$D$2045,$I$18:$I$2045,804,$J$18:$J$2045,7)</f>
        <v>0</v>
      </c>
      <c r="J9" s="2">
        <f>SUMIFS($D$18:$D$2045,$I$18:$I$2045,706,$J$18:$J$2045,7)</f>
        <v>0</v>
      </c>
      <c r="K9" s="2">
        <f>SUMIFS($D$18:$D$2045,$I$18:$I$2045,1407,$J$18:$J$2045,7)</f>
        <v>0</v>
      </c>
      <c r="L9" s="2">
        <f>SUMIFS($D$18:$D$2045,$I$18:$I$2045,"",$J$18:$J$2045,7)</f>
        <v>0</v>
      </c>
      <c r="M9" s="26">
        <f t="shared" si="0"/>
        <v>0</v>
      </c>
    </row>
    <row r="10" spans="1:15" x14ac:dyDescent="0.25">
      <c r="A10" t="s">
        <v>14</v>
      </c>
      <c r="B10" s="1"/>
      <c r="C10" s="75">
        <f>SUMIFS(Ausg._Liste!$H$4:$H$250,Ausg._Liste!$B$4:$B$250,"Kreditkarte",Ausg._Liste!$G$4:$G$250,8)</f>
        <v>0</v>
      </c>
      <c r="D10" s="2">
        <f>SUMIFS($D$18:$D$2045,$I$18:$I$2045,705,$J$18:$J$2045,8)</f>
        <v>0</v>
      </c>
      <c r="E10" s="2">
        <f>SUMIFS($D$18:$D$2045,$I$18:$I$2045,401,$J$18:$J$2045,8)</f>
        <v>0</v>
      </c>
      <c r="F10" s="2">
        <f>SUMIFS($D$18:$D$2045,$I$18:$I$2045,402,$J$18:$J$2045,8)</f>
        <v>0</v>
      </c>
      <c r="G10" s="2">
        <f>SUMIFS($D$18:$D$2045,$I$18:$I$2045,905,$J$18:$J$2045,8)</f>
        <v>0</v>
      </c>
      <c r="H10" s="2">
        <f>SUMIFS($D$18:$D$2045,$I$18:$I$2045,805,$J$18:$J$2045,8)</f>
        <v>0</v>
      </c>
      <c r="I10" s="2">
        <f>SUMIFS($D$18:$D$2045,$I$18:$I$2045,804,$J$18:$J$2045,8)</f>
        <v>0</v>
      </c>
      <c r="J10" s="2">
        <f>SUMIFS($D$18:$D$2045,$I$18:$I$2045,706,$J$18:$J$2045,8)</f>
        <v>0</v>
      </c>
      <c r="K10" s="2">
        <f>SUMIFS($D$18:$D$2045,$I$18:$I$2045,1407,$J$18:$J$2045,8)</f>
        <v>0</v>
      </c>
      <c r="L10" s="2">
        <f>SUMIFS($D$18:$D$2045,$I$18:$I$2045,"",$J$18:$J$2045,8)</f>
        <v>0</v>
      </c>
      <c r="M10" s="26">
        <f t="shared" si="0"/>
        <v>0</v>
      </c>
    </row>
    <row r="11" spans="1:15" x14ac:dyDescent="0.25">
      <c r="A11" t="s">
        <v>15</v>
      </c>
      <c r="C11" s="75">
        <f>SUMIFS(Ausg._Liste!$H$4:$H$250,Ausg._Liste!$B$4:$B$250,"Kreditkarte",Ausg._Liste!$G$4:$G$250,9)</f>
        <v>0</v>
      </c>
      <c r="D11" s="2">
        <f>SUMIFS($D$18:$D$2045,$I$18:$I$2045,705,$J$18:$J$2045,9)</f>
        <v>0</v>
      </c>
      <c r="E11" s="2">
        <f>SUMIFS($D$18:$D$2045,$I$18:$I$2045,401,$J$18:$J$2045,9)</f>
        <v>0</v>
      </c>
      <c r="F11" s="2">
        <f>SUMIFS($D$18:$D$2045,$I$18:$I$2045,402,$J$18:$J$2045,9)</f>
        <v>0</v>
      </c>
      <c r="G11" s="2">
        <f>SUMIFS($D$18:$D$2045,$I$18:$I$2045,905,$J$18:$J$2045,9)</f>
        <v>0</v>
      </c>
      <c r="H11" s="2">
        <f>SUMIFS($D$18:$D$2045,$I$18:$I$2045,805,$J$18:$J$2045,9)</f>
        <v>0</v>
      </c>
      <c r="I11" s="2">
        <f>SUMIFS($D$18:$D$2045,$I$18:$I$2045,804,$J$18:$J$2045,9)</f>
        <v>0</v>
      </c>
      <c r="J11" s="2">
        <f>SUMIFS($D$18:$D$2045,$I$18:$I$2045,706,$J$18:$J$2045,9)</f>
        <v>0</v>
      </c>
      <c r="K11" s="2">
        <f>SUMIFS($D$18:$D$2045,$I$18:$I$2045,1407,$J$18:$J$2045,9)</f>
        <v>0</v>
      </c>
      <c r="L11" s="2">
        <f>SUMIFS($D$18:$D$2045,$I$18:$I$2045,"",$J$18:$J$2045,9)</f>
        <v>0</v>
      </c>
      <c r="M11" s="26">
        <f t="shared" si="0"/>
        <v>0</v>
      </c>
    </row>
    <row r="12" spans="1:15" x14ac:dyDescent="0.25">
      <c r="A12" t="s">
        <v>16</v>
      </c>
      <c r="C12" s="75">
        <f>SUMIFS(Ausg._Liste!$H$4:$H$250,Ausg._Liste!$B$4:$B$250,"Kreditkarte",Ausg._Liste!$G$4:$G$250,10)</f>
        <v>0</v>
      </c>
      <c r="D12" s="2">
        <f>SUMIFS($D$18:$D$2045,$I$18:$I$2045,705,$J$18:$J$2045,10)</f>
        <v>0</v>
      </c>
      <c r="E12" s="2">
        <f>SUMIFS($D$18:$D$2045,$I$18:$I$2045,401,$J$18:$J$2045,10)</f>
        <v>0</v>
      </c>
      <c r="F12" s="2">
        <f>SUMIFS($D$18:$D$2045,$I$18:$I$2045,402,$J$18:$J$2045,10)</f>
        <v>0</v>
      </c>
      <c r="G12" s="2">
        <f>SUMIFS($D$18:$D$2045,$I$18:$I$2045,905,$J$18:$J$2045,10)</f>
        <v>0</v>
      </c>
      <c r="H12" s="2">
        <f>SUMIFS($D$18:$D$2045,$I$18:$I$2045,805,$J$18:$J$2045,10)</f>
        <v>0</v>
      </c>
      <c r="I12" s="2">
        <f>SUMIFS($D$18:$D$2045,$I$18:$I$2045,804,$J$18:$J$2045,10)</f>
        <v>0</v>
      </c>
      <c r="J12" s="2">
        <f>SUMIFS($D$18:$D$2045,$I$18:$I$2045,706,$J$18:$J$2045,10)</f>
        <v>0</v>
      </c>
      <c r="K12" s="2">
        <f>SUMIFS($D$18:$D$2045,$I$18:$I$2045,1407,$J$18:$J$2045,10)</f>
        <v>0</v>
      </c>
      <c r="L12" s="2">
        <f>SUMIFS($D$18:$D$2045,$I$18:$I$2045,"",$J$18:$J$2045,10)</f>
        <v>0</v>
      </c>
      <c r="M12" s="26">
        <f t="shared" si="0"/>
        <v>0</v>
      </c>
    </row>
    <row r="13" spans="1:15" x14ac:dyDescent="0.25">
      <c r="A13" t="s">
        <v>17</v>
      </c>
      <c r="C13" s="75">
        <f>SUMIFS(Ausg._Liste!$H$4:$H$250,Ausg._Liste!$B$4:$B$250,"Kreditkarte",Ausg._Liste!$G$4:$G$250,11)</f>
        <v>0</v>
      </c>
      <c r="D13" s="2">
        <f>SUMIFS($D$18:$D$2045,$I$18:$I$2045,705,$J$18:$J$2045,11)</f>
        <v>0</v>
      </c>
      <c r="E13" s="2">
        <f>SUMIFS($D$18:$D$2045,$I$18:$I$2045,401,$J$18:$J$2045,11)</f>
        <v>0</v>
      </c>
      <c r="F13" s="2">
        <f>SUMIFS($D$18:$D$2045,$I$18:$I$2045,402,$J$18:$J$2045,11)</f>
        <v>0</v>
      </c>
      <c r="G13" s="2">
        <f>SUMIFS($D$18:$D$2045,$I$18:$I$2045,905,$J$18:$J$2045,11)</f>
        <v>0</v>
      </c>
      <c r="H13" s="2">
        <f>SUMIFS($D$18:$D$2045,$I$18:$I$2045,805,$J$18:$J$2045,11)</f>
        <v>0</v>
      </c>
      <c r="I13" s="2">
        <f>SUMIFS($D$18:$D$2045,$I$18:$I$2045,804,$J$18:$J$2045,11)</f>
        <v>0</v>
      </c>
      <c r="J13" s="2">
        <f>SUMIFS($D$18:$D$2045,$I$18:$I$2045,706,$J$18:$J$2045,11)</f>
        <v>0</v>
      </c>
      <c r="K13" s="2">
        <f>SUMIFS($D$18:$D$2045,$I$18:$I$2045,1407,$J$18:$J$2045,11)</f>
        <v>0</v>
      </c>
      <c r="L13" s="2">
        <f>SUMIFS($D$18:$D$2045,$I$18:$I$2045,"",$J$18:$J$2045,11)</f>
        <v>0</v>
      </c>
      <c r="M13" s="26">
        <f t="shared" si="0"/>
        <v>0</v>
      </c>
    </row>
    <row r="14" spans="1:15" x14ac:dyDescent="0.25">
      <c r="A14" t="s">
        <v>18</v>
      </c>
      <c r="C14" s="75">
        <f>SUMIFS(Ausg._Liste!$H$4:$H$250,Ausg._Liste!$B$4:$B$250,"Kreditkarte",Ausg._Liste!$G$4:$G$250,12)</f>
        <v>0</v>
      </c>
      <c r="D14" s="2">
        <f>SUMIFS($D$18:$D$2045,$I$18:$I$2045,705,$J$18:$J$2045,12)</f>
        <v>0</v>
      </c>
      <c r="E14" s="2">
        <f>SUMIFS($D$18:$D$2045,$I$18:$I$2045,401,$J$18:$J$2045,12)</f>
        <v>0</v>
      </c>
      <c r="F14" s="2">
        <f>SUMIFS($D$18:$D$2045,$I$18:$I$2045,402,$J$18:$J$2045,12)</f>
        <v>0</v>
      </c>
      <c r="G14" s="2">
        <f>SUMIFS($D$18:$D$2045,$I$18:$I$2045,905,$J$18:$J$2045,12)</f>
        <v>0</v>
      </c>
      <c r="H14" s="2">
        <f>SUMIFS($D$18:$D$2045,$I$18:$I$2045,805,$J$18:$J$2045,12)</f>
        <v>0</v>
      </c>
      <c r="I14" s="2">
        <f>SUMIFS($D$18:$D$2045,$I$18:$I$2045,804,$J$18:$J$2045,12)</f>
        <v>0</v>
      </c>
      <c r="J14" s="2">
        <f>SUMIFS($D$18:$D$2045,$I$18:$I$2045,706,$J$18:$J$2045,12)</f>
        <v>0</v>
      </c>
      <c r="K14" s="2">
        <f>SUMIFS($D$18:$D$2045,$I$18:$I$2045,1407,$J$18:$J$2045,12)</f>
        <v>0</v>
      </c>
      <c r="L14" s="2">
        <f>SUMIFS($D$18:$D$2045,$I$18:$I$2045,"",$J$18:$J$2045,12)</f>
        <v>0</v>
      </c>
      <c r="M14" s="26">
        <f t="shared" si="0"/>
        <v>0</v>
      </c>
    </row>
    <row r="15" spans="1:15" ht="15.75" x14ac:dyDescent="0.25">
      <c r="A15" s="10" t="s">
        <v>141</v>
      </c>
      <c r="C15" s="20">
        <f>SUM(C3:C14)</f>
        <v>0</v>
      </c>
      <c r="D15" s="20">
        <f t="shared" ref="D15:L15" si="1">SUM(D3:D14)</f>
        <v>0</v>
      </c>
      <c r="E15" s="20">
        <f t="shared" si="1"/>
        <v>0</v>
      </c>
      <c r="F15" s="20">
        <f t="shared" si="1"/>
        <v>0</v>
      </c>
      <c r="G15" s="20">
        <f t="shared" si="1"/>
        <v>0</v>
      </c>
      <c r="H15" s="20">
        <f t="shared" si="1"/>
        <v>0</v>
      </c>
      <c r="I15" s="20">
        <f t="shared" si="1"/>
        <v>0</v>
      </c>
      <c r="J15" s="20">
        <f t="shared" si="1"/>
        <v>0</v>
      </c>
      <c r="K15" s="20">
        <f t="shared" si="1"/>
        <v>0</v>
      </c>
      <c r="L15" s="20">
        <f t="shared" si="1"/>
        <v>0</v>
      </c>
      <c r="M15" s="99">
        <f>SUM(M3:M14)</f>
        <v>0</v>
      </c>
    </row>
    <row r="16" spans="1:15" ht="26.25" x14ac:dyDescent="0.4">
      <c r="A16" s="94" t="s">
        <v>227</v>
      </c>
      <c r="B16" s="92"/>
      <c r="C16" s="93"/>
      <c r="D16" s="93"/>
      <c r="E16" s="93"/>
      <c r="F16" s="93"/>
      <c r="G16" s="93"/>
      <c r="H16" s="129" t="s">
        <v>345</v>
      </c>
      <c r="I16" s="98"/>
      <c r="J16" s="98"/>
      <c r="K16" s="98"/>
      <c r="L16" s="95"/>
      <c r="M16" s="92"/>
      <c r="N16" s="142" t="s">
        <v>364</v>
      </c>
      <c r="O16" s="142"/>
    </row>
    <row r="17" spans="1:15" ht="29.25" customHeight="1" x14ac:dyDescent="0.25">
      <c r="A17" s="5" t="s">
        <v>0</v>
      </c>
      <c r="B17" s="170" t="s">
        <v>223</v>
      </c>
      <c r="C17" s="170"/>
      <c r="D17" s="20" t="s">
        <v>129</v>
      </c>
      <c r="E17" s="89" t="s">
        <v>224</v>
      </c>
      <c r="F17" s="90" t="s">
        <v>225</v>
      </c>
      <c r="G17" s="100" t="s">
        <v>234</v>
      </c>
      <c r="H17" s="87" t="s">
        <v>367</v>
      </c>
      <c r="I17" s="97" t="s">
        <v>230</v>
      </c>
      <c r="J17" s="143" t="s">
        <v>365</v>
      </c>
      <c r="K17" s="97" t="s">
        <v>226</v>
      </c>
      <c r="L17" s="171" t="s">
        <v>1</v>
      </c>
      <c r="M17" s="171"/>
      <c r="N17" s="140" t="s">
        <v>363</v>
      </c>
      <c r="O17" s="16" t="s">
        <v>366</v>
      </c>
    </row>
    <row r="18" spans="1:15" x14ac:dyDescent="0.25">
      <c r="A18" s="1"/>
      <c r="B18" s="2"/>
      <c r="C18" s="2"/>
      <c r="D18" s="2"/>
      <c r="E18" s="2"/>
      <c r="F18" s="2"/>
      <c r="G18" s="2"/>
      <c r="H18" s="149"/>
      <c r="K18" s="1"/>
      <c r="L18" s="19"/>
    </row>
    <row r="19" spans="1:15" x14ac:dyDescent="0.25">
      <c r="A19" s="1"/>
      <c r="B19" s="2"/>
      <c r="C19" s="2"/>
      <c r="D19" s="2"/>
      <c r="E19" s="2"/>
      <c r="F19" s="2"/>
      <c r="G19" s="2"/>
      <c r="H19" s="149"/>
      <c r="K19" s="1"/>
      <c r="L19" s="19"/>
    </row>
    <row r="20" spans="1:15" x14ac:dyDescent="0.25">
      <c r="A20" s="1"/>
      <c r="B20" s="2"/>
      <c r="C20" s="2"/>
      <c r="D20" s="2"/>
      <c r="E20" s="2"/>
      <c r="G20" s="2"/>
      <c r="H20" s="149"/>
      <c r="K20" s="1"/>
      <c r="L20" s="19"/>
    </row>
    <row r="21" spans="1:15" x14ac:dyDescent="0.25">
      <c r="A21" s="1"/>
      <c r="B21" s="2"/>
      <c r="C21" s="2"/>
      <c r="D21" s="2"/>
      <c r="E21" s="2"/>
      <c r="F21" s="20"/>
      <c r="G21" s="2"/>
      <c r="H21" s="149"/>
      <c r="K21" s="1"/>
      <c r="L21" s="2"/>
    </row>
    <row r="22" spans="1:15" x14ac:dyDescent="0.25">
      <c r="A22" s="1"/>
      <c r="B22" s="86"/>
      <c r="C22" s="86"/>
      <c r="D22" s="85"/>
      <c r="G22" s="84"/>
      <c r="H22" s="7"/>
      <c r="K22" s="1"/>
      <c r="L22" s="19"/>
    </row>
    <row r="23" spans="1:15" x14ac:dyDescent="0.25">
      <c r="A23" s="1"/>
      <c r="B23" s="86"/>
      <c r="C23" s="86"/>
      <c r="D23" s="85"/>
      <c r="E23" s="84"/>
      <c r="G23" s="84"/>
      <c r="H23" s="7"/>
      <c r="K23" s="1"/>
      <c r="L23" s="19"/>
    </row>
    <row r="24" spans="1:15" x14ac:dyDescent="0.25">
      <c r="A24" s="1"/>
      <c r="B24" s="2"/>
      <c r="C24" s="86"/>
      <c r="D24" s="85"/>
      <c r="G24" s="84"/>
      <c r="H24" s="7"/>
      <c r="K24" s="1"/>
      <c r="L24" s="19"/>
    </row>
    <row r="25" spans="1:15" x14ac:dyDescent="0.25">
      <c r="A25" s="1"/>
      <c r="B25" s="2"/>
      <c r="C25" s="86"/>
      <c r="D25" s="85"/>
      <c r="E25" s="84"/>
      <c r="F25" s="141"/>
      <c r="G25" s="84"/>
      <c r="H25" s="7"/>
      <c r="K25" s="1"/>
      <c r="L25" s="19"/>
      <c r="O25" s="5"/>
    </row>
    <row r="26" spans="1:15" x14ac:dyDescent="0.25">
      <c r="A26" s="1"/>
      <c r="B26" s="84"/>
      <c r="C26" s="86"/>
      <c r="D26" s="85"/>
      <c r="E26" s="84"/>
      <c r="G26" s="84"/>
      <c r="H26" s="7"/>
      <c r="K26" s="1"/>
      <c r="L26" s="19"/>
    </row>
    <row r="27" spans="1:15" x14ac:dyDescent="0.25">
      <c r="A27" s="1"/>
      <c r="B27" s="84"/>
      <c r="C27" s="86"/>
      <c r="D27" s="85"/>
      <c r="E27" s="84"/>
      <c r="G27" s="84"/>
      <c r="H27" s="7"/>
      <c r="K27" s="1"/>
      <c r="L27" s="19"/>
    </row>
    <row r="28" spans="1:15" x14ac:dyDescent="0.25">
      <c r="A28" s="1"/>
      <c r="B28" s="84"/>
      <c r="C28" s="86"/>
      <c r="D28" s="85"/>
      <c r="E28" s="84"/>
      <c r="G28" s="84"/>
      <c r="H28" s="7"/>
      <c r="K28" s="1"/>
      <c r="L28" s="19"/>
    </row>
    <row r="29" spans="1:15" x14ac:dyDescent="0.25">
      <c r="A29" s="1"/>
      <c r="B29" s="84"/>
      <c r="C29" s="86"/>
      <c r="D29" s="85"/>
      <c r="E29" s="26"/>
      <c r="F29" s="5"/>
      <c r="G29" s="84"/>
      <c r="H29" s="7"/>
      <c r="K29" s="1"/>
      <c r="L29" s="2"/>
      <c r="N29" s="2"/>
    </row>
    <row r="30" spans="1:15" x14ac:dyDescent="0.25">
      <c r="A30" s="1"/>
      <c r="B30" s="84"/>
      <c r="C30" s="86"/>
      <c r="D30" s="85"/>
      <c r="E30" s="26"/>
      <c r="G30" s="84"/>
      <c r="H30" s="7"/>
      <c r="K30" s="1"/>
      <c r="L30" s="138"/>
      <c r="N30" s="2"/>
    </row>
    <row r="31" spans="1:15" x14ac:dyDescent="0.25">
      <c r="A31" s="1"/>
      <c r="B31" s="84"/>
      <c r="D31" s="85"/>
      <c r="E31" s="26"/>
      <c r="G31" s="84"/>
      <c r="H31" s="7"/>
      <c r="K31" s="1"/>
      <c r="L31" s="138"/>
      <c r="N31" s="2"/>
    </row>
    <row r="32" spans="1:15" x14ac:dyDescent="0.25">
      <c r="A32" s="1"/>
      <c r="B32" s="84"/>
      <c r="D32" s="85"/>
      <c r="E32" s="26"/>
      <c r="G32" s="84"/>
      <c r="H32" s="7"/>
      <c r="K32" s="1"/>
      <c r="L32" s="138"/>
      <c r="N32" s="2"/>
    </row>
    <row r="33" spans="1:15" x14ac:dyDescent="0.25">
      <c r="A33" s="1"/>
      <c r="B33" s="84"/>
      <c r="C33" s="86"/>
      <c r="D33" s="85"/>
      <c r="E33" s="85"/>
      <c r="G33" s="84"/>
      <c r="H33" s="7"/>
      <c r="K33" s="1"/>
      <c r="L33" s="136"/>
      <c r="N33" s="2"/>
    </row>
    <row r="34" spans="1:15" x14ac:dyDescent="0.25">
      <c r="A34" s="1"/>
      <c r="B34" s="84"/>
      <c r="C34" s="86"/>
      <c r="D34" s="85"/>
      <c r="E34" s="26"/>
      <c r="G34" s="84"/>
      <c r="H34" s="7"/>
      <c r="K34" s="1"/>
      <c r="L34" s="138"/>
      <c r="N34" s="2"/>
    </row>
    <row r="35" spans="1:15" x14ac:dyDescent="0.25">
      <c r="A35" s="1"/>
      <c r="B35" s="84"/>
      <c r="C35" s="86"/>
      <c r="D35" s="85"/>
      <c r="E35" s="84"/>
      <c r="G35" s="84"/>
      <c r="H35" s="7"/>
      <c r="K35" s="1"/>
      <c r="L35" s="138"/>
      <c r="N35" s="2"/>
    </row>
    <row r="36" spans="1:15" x14ac:dyDescent="0.25">
      <c r="A36" s="1"/>
      <c r="B36" s="84"/>
      <c r="C36" s="86"/>
      <c r="D36" s="85"/>
      <c r="E36" s="26"/>
      <c r="G36" s="84"/>
      <c r="H36" s="7"/>
      <c r="K36" s="1"/>
      <c r="L36" s="2"/>
      <c r="N36" s="2"/>
    </row>
    <row r="37" spans="1:15" x14ac:dyDescent="0.25">
      <c r="A37" s="1"/>
      <c r="B37" s="84"/>
      <c r="C37" s="86"/>
      <c r="D37" s="85"/>
      <c r="E37" s="26"/>
      <c r="G37" s="84"/>
      <c r="H37" s="7"/>
      <c r="K37" s="1"/>
      <c r="L37" s="2"/>
      <c r="N37" s="2"/>
    </row>
    <row r="38" spans="1:15" x14ac:dyDescent="0.25">
      <c r="A38" s="1"/>
      <c r="B38" s="84"/>
      <c r="C38" s="86"/>
      <c r="D38" s="85"/>
      <c r="E38" s="26"/>
      <c r="G38" s="84"/>
      <c r="H38" s="7"/>
      <c r="K38" s="1"/>
      <c r="L38" s="138"/>
      <c r="N38" s="2"/>
    </row>
    <row r="39" spans="1:15" x14ac:dyDescent="0.25">
      <c r="A39" s="1"/>
      <c r="B39" s="84"/>
      <c r="C39" s="86"/>
      <c r="D39" s="85"/>
      <c r="E39" s="26"/>
      <c r="G39" s="84"/>
      <c r="H39" s="7"/>
      <c r="K39" s="1"/>
      <c r="L39" s="138"/>
      <c r="N39" s="2"/>
    </row>
    <row r="40" spans="1:15" x14ac:dyDescent="0.25">
      <c r="A40" s="1"/>
      <c r="B40" s="84"/>
      <c r="C40" s="86"/>
      <c r="D40" s="85"/>
      <c r="E40" s="26"/>
      <c r="F40" s="141"/>
      <c r="G40" s="84"/>
      <c r="H40" s="7"/>
      <c r="K40" s="1"/>
      <c r="L40" s="2"/>
      <c r="N40" s="2"/>
    </row>
    <row r="41" spans="1:15" x14ac:dyDescent="0.25">
      <c r="A41" s="1"/>
      <c r="B41" s="84"/>
      <c r="C41" s="86"/>
      <c r="D41" s="85"/>
      <c r="E41" s="85"/>
      <c r="F41" s="100"/>
      <c r="G41" s="84"/>
      <c r="H41" s="148"/>
      <c r="K41" s="1"/>
      <c r="L41" s="136"/>
      <c r="M41" s="19"/>
      <c r="N41" s="2"/>
      <c r="O41" s="5"/>
    </row>
    <row r="42" spans="1:15" x14ac:dyDescent="0.25">
      <c r="A42" s="1"/>
      <c r="B42" s="84"/>
      <c r="C42" s="86"/>
      <c r="D42" s="85"/>
      <c r="E42" s="85"/>
      <c r="F42" s="100"/>
      <c r="G42" s="84"/>
      <c r="H42" s="148"/>
      <c r="K42" s="1"/>
      <c r="L42" s="136"/>
      <c r="M42" s="19"/>
      <c r="N42" s="2"/>
      <c r="O42" s="5"/>
    </row>
    <row r="43" spans="1:15" x14ac:dyDescent="0.25">
      <c r="A43" s="1"/>
      <c r="B43" s="84"/>
      <c r="C43" s="86"/>
      <c r="D43" s="85"/>
      <c r="E43" s="85"/>
      <c r="F43" s="84"/>
      <c r="G43" s="84"/>
      <c r="H43" s="148"/>
      <c r="K43" s="144"/>
      <c r="L43" s="136"/>
      <c r="M43" s="19"/>
      <c r="N43" s="2"/>
    </row>
    <row r="44" spans="1:15" x14ac:dyDescent="0.25">
      <c r="A44" s="1"/>
      <c r="B44" s="84"/>
      <c r="C44" s="86"/>
      <c r="D44" s="85"/>
      <c r="F44" s="84"/>
      <c r="G44" s="84"/>
      <c r="H44" s="148"/>
      <c r="K44" s="144"/>
      <c r="L44" s="136"/>
      <c r="M44" s="19"/>
      <c r="N44" s="2"/>
    </row>
    <row r="45" spans="1:15" x14ac:dyDescent="0.25">
      <c r="A45" s="1"/>
      <c r="B45" s="84"/>
      <c r="C45" s="86"/>
      <c r="D45" s="85"/>
      <c r="E45" s="85"/>
      <c r="F45" s="84"/>
      <c r="G45" s="84"/>
      <c r="H45" s="148"/>
      <c r="K45" s="144"/>
      <c r="L45" s="136"/>
      <c r="M45" s="19"/>
      <c r="N45" s="2"/>
    </row>
    <row r="46" spans="1:15" x14ac:dyDescent="0.25">
      <c r="A46" s="1"/>
      <c r="B46" s="84"/>
      <c r="C46" s="86"/>
      <c r="D46" s="85"/>
      <c r="E46" s="85"/>
      <c r="G46" s="84"/>
      <c r="H46" s="148"/>
      <c r="K46" s="144"/>
      <c r="L46" s="136"/>
      <c r="M46" s="19"/>
      <c r="N46" s="2"/>
    </row>
    <row r="47" spans="1:15" x14ac:dyDescent="0.25">
      <c r="A47" s="1"/>
      <c r="B47" s="84"/>
      <c r="C47" s="86"/>
      <c r="D47" s="85"/>
      <c r="E47" s="85"/>
      <c r="F47" s="100"/>
      <c r="G47" s="84"/>
      <c r="H47" s="148"/>
      <c r="K47" s="144"/>
      <c r="L47" s="2"/>
      <c r="M47" s="19"/>
      <c r="N47" s="2"/>
    </row>
    <row r="48" spans="1:15" x14ac:dyDescent="0.25">
      <c r="A48" s="1"/>
      <c r="B48" s="84"/>
      <c r="C48" s="86"/>
      <c r="D48" s="85"/>
      <c r="E48" s="85"/>
      <c r="F48" s="84"/>
      <c r="G48" s="84"/>
      <c r="H48" s="148"/>
      <c r="K48" s="144"/>
      <c r="L48" s="136"/>
      <c r="M48" s="19"/>
      <c r="N48" s="2"/>
    </row>
    <row r="49" spans="1:17" x14ac:dyDescent="0.25">
      <c r="A49" s="1"/>
      <c r="B49" s="84"/>
      <c r="C49" s="86"/>
      <c r="D49" s="85"/>
      <c r="E49" s="85"/>
      <c r="F49" s="84"/>
      <c r="G49" s="84"/>
      <c r="H49" s="148"/>
      <c r="K49" s="144"/>
      <c r="L49" s="136"/>
      <c r="M49" s="19"/>
      <c r="N49" s="2"/>
    </row>
    <row r="50" spans="1:17" x14ac:dyDescent="0.25">
      <c r="A50" s="1"/>
      <c r="B50" s="84"/>
      <c r="C50" s="86"/>
      <c r="D50" s="85"/>
      <c r="E50" s="85"/>
      <c r="F50" s="84"/>
      <c r="G50" s="84"/>
      <c r="H50" s="148"/>
      <c r="K50" s="144"/>
      <c r="L50" s="136"/>
      <c r="M50" s="19"/>
      <c r="N50" s="2"/>
    </row>
    <row r="51" spans="1:17" x14ac:dyDescent="0.25">
      <c r="A51" s="1"/>
      <c r="B51" s="84"/>
      <c r="C51" s="86"/>
      <c r="D51" s="85"/>
      <c r="E51" s="85"/>
      <c r="F51" s="84"/>
      <c r="G51" s="84"/>
      <c r="H51" s="148"/>
      <c r="K51" s="144"/>
      <c r="L51" s="136"/>
      <c r="M51" s="19"/>
      <c r="N51" s="2"/>
    </row>
    <row r="52" spans="1:17" x14ac:dyDescent="0.25">
      <c r="A52" s="1"/>
      <c r="B52" s="84"/>
      <c r="C52" s="86"/>
      <c r="D52" s="85"/>
      <c r="E52" s="85"/>
      <c r="F52" s="84"/>
      <c r="G52" s="84"/>
      <c r="H52" s="148"/>
      <c r="K52" s="144"/>
      <c r="L52" s="136"/>
      <c r="M52" s="19"/>
      <c r="N52" s="2"/>
    </row>
    <row r="53" spans="1:17" x14ac:dyDescent="0.25">
      <c r="A53" s="1"/>
      <c r="B53" s="84"/>
      <c r="C53" s="86"/>
      <c r="D53" s="85"/>
      <c r="E53" s="85"/>
      <c r="F53" s="84"/>
      <c r="G53" s="84"/>
      <c r="H53" s="148"/>
      <c r="K53" s="144"/>
      <c r="L53" s="136"/>
      <c r="M53" s="19"/>
      <c r="N53" s="2"/>
    </row>
    <row r="54" spans="1:17" x14ac:dyDescent="0.25">
      <c r="A54" s="1"/>
      <c r="B54" s="84"/>
      <c r="C54" s="86"/>
      <c r="D54" s="85"/>
      <c r="E54" s="85"/>
      <c r="F54" s="84"/>
      <c r="G54" s="84"/>
      <c r="H54" s="148"/>
      <c r="K54" s="144"/>
      <c r="L54" s="136"/>
      <c r="M54" s="19"/>
      <c r="N54" s="2"/>
    </row>
    <row r="55" spans="1:17" x14ac:dyDescent="0.25">
      <c r="A55" s="1"/>
      <c r="B55" s="86"/>
      <c r="C55" s="86"/>
      <c r="D55" s="85"/>
      <c r="F55" s="84"/>
      <c r="G55" s="84"/>
      <c r="H55" s="148"/>
      <c r="K55" s="144"/>
      <c r="L55" s="136"/>
      <c r="M55" s="19"/>
      <c r="N55" s="2"/>
    </row>
    <row r="56" spans="1:17" x14ac:dyDescent="0.25">
      <c r="A56" s="1"/>
      <c r="B56" s="86"/>
      <c r="C56" s="86"/>
      <c r="D56" s="85"/>
      <c r="F56" s="84"/>
      <c r="G56" s="84"/>
      <c r="H56" s="148"/>
      <c r="K56" s="144"/>
      <c r="L56" s="136"/>
      <c r="M56" s="19"/>
      <c r="N56" s="2"/>
      <c r="P56" s="26"/>
      <c r="Q56" s="26"/>
    </row>
    <row r="57" spans="1:17" x14ac:dyDescent="0.25">
      <c r="A57" s="1"/>
      <c r="B57" s="86"/>
      <c r="C57" s="86"/>
      <c r="D57" s="85"/>
      <c r="E57" s="85"/>
      <c r="F57" s="84"/>
      <c r="G57" s="84"/>
      <c r="H57" s="148"/>
      <c r="K57" s="144"/>
      <c r="L57" s="136"/>
      <c r="M57" s="19"/>
      <c r="N57" s="2"/>
      <c r="P57" s="26"/>
    </row>
    <row r="58" spans="1:17" x14ac:dyDescent="0.25">
      <c r="A58" s="1"/>
      <c r="B58" s="86"/>
      <c r="C58" s="86"/>
      <c r="D58" s="85"/>
      <c r="E58" s="85"/>
      <c r="F58" s="100"/>
      <c r="G58" s="84"/>
      <c r="H58" s="148"/>
      <c r="K58" s="144"/>
      <c r="L58" s="136"/>
      <c r="O58" s="20"/>
    </row>
    <row r="59" spans="1:17" x14ac:dyDescent="0.25">
      <c r="A59" s="1"/>
      <c r="B59" s="86"/>
      <c r="C59" s="86"/>
      <c r="D59" s="85"/>
      <c r="E59" s="85"/>
      <c r="F59" s="84"/>
      <c r="G59" s="84"/>
      <c r="H59" s="148"/>
      <c r="K59" s="144"/>
      <c r="L59" s="136"/>
      <c r="M59" s="19"/>
      <c r="N59" s="2"/>
    </row>
    <row r="60" spans="1:17" x14ac:dyDescent="0.25">
      <c r="A60" s="1"/>
      <c r="B60" s="86"/>
      <c r="C60" s="86"/>
      <c r="D60" s="85"/>
      <c r="E60" s="85"/>
      <c r="F60" s="84"/>
      <c r="G60" s="84"/>
      <c r="H60" s="148"/>
      <c r="K60" s="144"/>
      <c r="L60" s="136"/>
      <c r="M60" s="19"/>
      <c r="N60" s="2"/>
      <c r="Q60" s="2"/>
    </row>
    <row r="61" spans="1:17" x14ac:dyDescent="0.25">
      <c r="A61" s="1"/>
      <c r="B61" s="86"/>
      <c r="C61" s="86"/>
      <c r="D61" s="85"/>
      <c r="F61" s="84"/>
      <c r="G61" s="84"/>
      <c r="H61" s="148"/>
      <c r="K61" s="144"/>
      <c r="L61" s="136"/>
      <c r="M61" s="19"/>
      <c r="N61" s="2"/>
    </row>
    <row r="62" spans="1:17" x14ac:dyDescent="0.25">
      <c r="A62" s="1"/>
      <c r="B62" s="86"/>
      <c r="C62" s="86"/>
      <c r="D62" s="85"/>
      <c r="E62" s="85"/>
      <c r="F62" s="84"/>
      <c r="G62" s="84"/>
      <c r="H62" s="148"/>
      <c r="K62" s="144"/>
      <c r="L62" s="136"/>
      <c r="M62" s="19"/>
      <c r="N62" s="2"/>
    </row>
    <row r="63" spans="1:17" x14ac:dyDescent="0.25">
      <c r="A63" s="1"/>
      <c r="B63" s="86"/>
      <c r="C63" s="86"/>
      <c r="D63" s="85"/>
      <c r="E63" s="85"/>
      <c r="F63" s="84"/>
      <c r="G63" s="84"/>
      <c r="H63" s="148"/>
      <c r="K63" s="144"/>
      <c r="L63" s="136"/>
      <c r="M63" s="19"/>
      <c r="N63" s="2"/>
    </row>
    <row r="64" spans="1:17" x14ac:dyDescent="0.25">
      <c r="A64" s="1"/>
      <c r="B64" s="86"/>
      <c r="C64" s="86"/>
      <c r="D64" s="85"/>
      <c r="F64" s="84"/>
      <c r="G64" s="84"/>
      <c r="H64" s="148"/>
      <c r="K64" s="144"/>
      <c r="L64" s="136"/>
      <c r="M64" s="19"/>
      <c r="N64" s="2"/>
    </row>
    <row r="65" spans="1:15" x14ac:dyDescent="0.25">
      <c r="A65" s="1"/>
      <c r="B65" s="86"/>
      <c r="C65" s="86"/>
      <c r="D65" s="85"/>
      <c r="E65" s="85"/>
      <c r="F65" s="84"/>
      <c r="G65" s="84"/>
      <c r="H65" s="148"/>
      <c r="K65" s="144"/>
      <c r="L65" s="136"/>
      <c r="M65" s="19"/>
      <c r="N65" s="2"/>
    </row>
    <row r="66" spans="1:15" x14ac:dyDescent="0.25">
      <c r="A66" s="1"/>
      <c r="B66" s="86"/>
      <c r="C66" s="86"/>
      <c r="D66" s="85"/>
      <c r="E66" s="85"/>
      <c r="F66" s="84"/>
      <c r="G66" s="84"/>
      <c r="H66" s="148"/>
      <c r="K66" s="144"/>
      <c r="L66" s="136"/>
      <c r="M66" s="19"/>
      <c r="N66" s="2"/>
    </row>
    <row r="67" spans="1:15" x14ac:dyDescent="0.25">
      <c r="A67" s="1"/>
      <c r="B67" s="86"/>
      <c r="C67" s="86"/>
      <c r="D67" s="85"/>
      <c r="E67" s="85"/>
      <c r="F67" s="84"/>
      <c r="G67" s="84"/>
      <c r="H67" s="148"/>
      <c r="K67" s="144"/>
      <c r="L67" s="136"/>
      <c r="M67" s="19"/>
      <c r="N67" s="2"/>
    </row>
    <row r="68" spans="1:15" x14ac:dyDescent="0.25">
      <c r="A68" s="1"/>
      <c r="B68" s="86"/>
      <c r="C68" s="86"/>
      <c r="D68" s="85"/>
      <c r="G68" s="84"/>
      <c r="H68" s="7"/>
      <c r="K68" s="144"/>
      <c r="L68" s="136"/>
    </row>
    <row r="69" spans="1:15" x14ac:dyDescent="0.25">
      <c r="A69" s="1"/>
      <c r="B69" s="86"/>
      <c r="C69" s="2"/>
      <c r="D69" s="85"/>
      <c r="E69" s="2"/>
      <c r="F69" s="20"/>
      <c r="G69" s="84"/>
      <c r="H69" s="148"/>
      <c r="K69" s="144"/>
      <c r="L69" s="138"/>
      <c r="M69" s="19"/>
      <c r="N69" s="2"/>
      <c r="O69" s="141"/>
    </row>
    <row r="70" spans="1:15" x14ac:dyDescent="0.25">
      <c r="A70" s="1"/>
      <c r="B70" s="86"/>
      <c r="C70" s="2"/>
      <c r="D70" s="2"/>
      <c r="E70" s="2"/>
      <c r="F70" s="2"/>
      <c r="G70" s="2"/>
      <c r="H70" s="149"/>
      <c r="K70" s="144"/>
      <c r="L70" s="138"/>
      <c r="M70" s="19"/>
      <c r="N70" s="2"/>
    </row>
    <row r="71" spans="1:15" x14ac:dyDescent="0.25">
      <c r="A71" s="1"/>
      <c r="B71" s="86"/>
      <c r="C71" s="2"/>
      <c r="D71" s="2"/>
      <c r="E71" s="2"/>
      <c r="F71" s="2"/>
      <c r="G71" s="2"/>
      <c r="H71" s="149"/>
      <c r="K71" s="144"/>
      <c r="L71" s="138"/>
      <c r="M71" s="19"/>
      <c r="N71" s="2"/>
    </row>
    <row r="72" spans="1:15" x14ac:dyDescent="0.25">
      <c r="A72" s="1"/>
      <c r="B72" s="86"/>
      <c r="C72" s="2"/>
      <c r="D72" s="2"/>
      <c r="E72" s="2"/>
      <c r="F72" s="2"/>
      <c r="G72" s="2"/>
      <c r="H72" s="149"/>
      <c r="K72" s="144"/>
      <c r="L72" s="136"/>
      <c r="M72" s="19"/>
      <c r="N72" s="2"/>
    </row>
    <row r="73" spans="1:15" x14ac:dyDescent="0.25">
      <c r="A73" s="1"/>
      <c r="B73" s="86"/>
      <c r="C73" s="2"/>
      <c r="D73" s="2"/>
      <c r="E73" s="2"/>
      <c r="F73" s="2"/>
      <c r="G73" s="2"/>
      <c r="H73" s="149"/>
      <c r="K73" s="144"/>
      <c r="L73" s="138"/>
      <c r="M73" s="19"/>
      <c r="N73" s="2"/>
    </row>
    <row r="74" spans="1:15" x14ac:dyDescent="0.25">
      <c r="A74" s="1"/>
      <c r="B74" s="86"/>
      <c r="C74" s="2"/>
      <c r="D74" s="2"/>
      <c r="E74" s="2"/>
      <c r="F74" s="2"/>
      <c r="G74" s="2"/>
      <c r="H74" s="149"/>
      <c r="K74" s="144"/>
      <c r="L74" s="138"/>
      <c r="M74" s="19"/>
      <c r="N74" s="2"/>
    </row>
    <row r="75" spans="1:15" x14ac:dyDescent="0.25">
      <c r="A75" s="1"/>
      <c r="B75" s="86"/>
      <c r="C75" s="2"/>
      <c r="D75" s="2"/>
      <c r="G75" s="2"/>
      <c r="H75" s="149"/>
      <c r="K75" s="144"/>
      <c r="L75" s="136"/>
      <c r="M75" s="19"/>
      <c r="N75" s="2"/>
    </row>
    <row r="76" spans="1:15" x14ac:dyDescent="0.25">
      <c r="A76" s="1"/>
      <c r="B76" s="86"/>
      <c r="C76" s="2"/>
      <c r="D76" s="2"/>
      <c r="E76" s="2"/>
      <c r="G76" s="2"/>
      <c r="H76" s="149"/>
      <c r="K76" s="144"/>
      <c r="L76" s="136"/>
      <c r="M76" s="19"/>
      <c r="N76" s="2"/>
    </row>
    <row r="77" spans="1:15" x14ac:dyDescent="0.25">
      <c r="A77" s="1"/>
      <c r="B77" s="86"/>
      <c r="C77" s="2"/>
      <c r="D77" s="2"/>
      <c r="F77" s="2"/>
      <c r="G77" s="2"/>
      <c r="H77" s="149"/>
      <c r="K77" s="144"/>
      <c r="L77" s="138"/>
      <c r="M77" s="19"/>
      <c r="N77" s="2"/>
    </row>
    <row r="78" spans="1:15" x14ac:dyDescent="0.25">
      <c r="A78" s="1"/>
      <c r="B78" s="86"/>
      <c r="C78" s="2"/>
      <c r="D78" s="2"/>
      <c r="E78" s="2"/>
      <c r="F78" s="20"/>
      <c r="G78" s="2"/>
      <c r="H78" s="149"/>
      <c r="K78" s="144"/>
      <c r="L78" s="138"/>
      <c r="M78" s="19"/>
      <c r="N78" s="2"/>
      <c r="O78" s="141"/>
    </row>
    <row r="79" spans="1:15" x14ac:dyDescent="0.25">
      <c r="A79" s="1"/>
      <c r="B79" s="86"/>
      <c r="C79" s="2"/>
      <c r="D79" s="2"/>
      <c r="E79" s="2"/>
      <c r="F79" s="2"/>
      <c r="G79" s="2"/>
      <c r="H79" s="149"/>
      <c r="K79" s="144"/>
      <c r="L79" s="138"/>
      <c r="M79" s="19"/>
      <c r="N79" s="2"/>
    </row>
    <row r="80" spans="1:15" x14ac:dyDescent="0.25">
      <c r="A80" s="1"/>
      <c r="B80" s="86"/>
      <c r="C80" s="2"/>
      <c r="D80" s="2"/>
      <c r="E80" s="2"/>
      <c r="F80" s="2"/>
      <c r="G80" s="2"/>
      <c r="H80" s="149"/>
      <c r="K80" s="144"/>
      <c r="L80" s="138"/>
      <c r="M80" s="19"/>
      <c r="N80" s="2"/>
    </row>
    <row r="81" spans="1:15" x14ac:dyDescent="0.25">
      <c r="A81" s="1"/>
      <c r="B81" s="86"/>
      <c r="C81" s="2"/>
      <c r="D81" s="2"/>
      <c r="E81" s="2"/>
      <c r="F81" s="2"/>
      <c r="G81" s="2"/>
      <c r="H81" s="149"/>
      <c r="K81" s="144"/>
      <c r="L81" s="138"/>
      <c r="M81" s="19"/>
      <c r="N81" s="2"/>
    </row>
    <row r="82" spans="1:15" x14ac:dyDescent="0.25">
      <c r="A82" s="1"/>
      <c r="B82" s="86"/>
      <c r="C82" s="2"/>
      <c r="D82" s="2"/>
      <c r="E82" s="2"/>
      <c r="F82" s="2"/>
      <c r="G82" s="2"/>
      <c r="H82" s="149"/>
      <c r="K82" s="144"/>
      <c r="L82" s="136"/>
      <c r="M82" s="19"/>
      <c r="N82" s="2"/>
    </row>
    <row r="83" spans="1:15" x14ac:dyDescent="0.25">
      <c r="A83" s="1"/>
      <c r="B83" s="86"/>
      <c r="C83" s="2"/>
      <c r="D83" s="2"/>
      <c r="E83" s="2"/>
      <c r="F83" s="2"/>
      <c r="G83" s="2"/>
      <c r="H83" s="149"/>
      <c r="K83" s="144"/>
      <c r="L83" s="138"/>
      <c r="M83" s="19"/>
      <c r="N83" s="2"/>
    </row>
    <row r="84" spans="1:15" x14ac:dyDescent="0.25">
      <c r="A84" s="1"/>
      <c r="B84" s="86"/>
      <c r="C84" s="2"/>
      <c r="D84" s="2"/>
      <c r="E84" s="2"/>
      <c r="F84" s="2"/>
      <c r="G84" s="2"/>
      <c r="H84" s="149"/>
      <c r="K84" s="144"/>
      <c r="L84" s="138"/>
      <c r="M84" s="19"/>
      <c r="N84" s="2"/>
    </row>
    <row r="85" spans="1:15" x14ac:dyDescent="0.25">
      <c r="A85" s="1"/>
      <c r="B85" s="86"/>
      <c r="C85" s="2"/>
      <c r="D85" s="2"/>
      <c r="E85" s="2"/>
      <c r="F85" s="2"/>
      <c r="G85" s="2"/>
      <c r="H85" s="149"/>
      <c r="K85" s="144"/>
      <c r="L85" s="138"/>
      <c r="M85" s="19"/>
      <c r="N85" s="2"/>
    </row>
    <row r="86" spans="1:15" x14ac:dyDescent="0.25">
      <c r="A86" s="1"/>
      <c r="B86" s="86"/>
      <c r="C86" s="2"/>
      <c r="D86" s="2"/>
      <c r="E86" s="2"/>
      <c r="F86" s="2"/>
      <c r="G86" s="2"/>
      <c r="H86" s="149"/>
      <c r="K86" s="144"/>
      <c r="L86" s="136"/>
      <c r="M86" s="19"/>
      <c r="N86" s="2"/>
    </row>
    <row r="87" spans="1:15" x14ac:dyDescent="0.25">
      <c r="A87" s="1"/>
      <c r="B87" s="86"/>
      <c r="C87" s="2"/>
      <c r="D87" s="2"/>
      <c r="F87" s="2"/>
      <c r="G87" s="2"/>
      <c r="H87" s="149"/>
      <c r="K87" s="144"/>
      <c r="L87" s="138"/>
      <c r="M87" s="19"/>
      <c r="N87" s="2"/>
    </row>
    <row r="88" spans="1:15" x14ac:dyDescent="0.25">
      <c r="A88" s="1"/>
      <c r="B88" s="86"/>
      <c r="C88" s="2"/>
      <c r="D88" s="2"/>
      <c r="E88" s="2"/>
      <c r="G88" s="2"/>
      <c r="H88" s="149"/>
      <c r="K88" s="144"/>
      <c r="L88" s="138"/>
      <c r="M88" s="19"/>
      <c r="N88" s="2"/>
    </row>
    <row r="89" spans="1:15" x14ac:dyDescent="0.25">
      <c r="A89" s="1"/>
      <c r="B89" s="2"/>
      <c r="C89" s="2"/>
      <c r="D89" s="2"/>
      <c r="E89" s="2"/>
      <c r="G89" s="2"/>
      <c r="H89" s="149"/>
      <c r="K89" s="144"/>
      <c r="L89" s="138"/>
      <c r="M89" s="19"/>
      <c r="N89" s="2"/>
    </row>
    <row r="90" spans="1:15" x14ac:dyDescent="0.25">
      <c r="A90" s="1"/>
      <c r="B90" s="2"/>
      <c r="C90" s="2"/>
      <c r="D90" s="2"/>
      <c r="E90" s="2"/>
      <c r="F90" s="2"/>
      <c r="G90" s="2"/>
      <c r="H90" s="149"/>
      <c r="K90" s="144"/>
      <c r="L90" s="138"/>
      <c r="M90" s="19"/>
      <c r="N90" s="2"/>
    </row>
    <row r="91" spans="1:15" x14ac:dyDescent="0.25">
      <c r="A91" s="1"/>
      <c r="B91" s="2"/>
      <c r="C91" s="2"/>
      <c r="D91" s="2"/>
      <c r="E91" s="2"/>
      <c r="F91" s="20"/>
      <c r="G91" s="2"/>
      <c r="H91" s="149"/>
      <c r="K91" s="144"/>
      <c r="L91" s="138"/>
      <c r="M91" s="19"/>
      <c r="N91" s="2"/>
      <c r="O91" s="141"/>
    </row>
    <row r="92" spans="1:15" x14ac:dyDescent="0.25">
      <c r="A92" s="1"/>
      <c r="B92" s="2"/>
      <c r="C92" s="2"/>
      <c r="D92" s="2"/>
      <c r="E92" s="2"/>
      <c r="G92" s="2"/>
      <c r="H92" s="149"/>
      <c r="K92" s="144"/>
      <c r="L92" s="138"/>
      <c r="M92" s="19"/>
      <c r="N92" s="2"/>
    </row>
    <row r="93" spans="1:15" x14ac:dyDescent="0.25">
      <c r="A93" s="1"/>
      <c r="B93" s="2"/>
      <c r="C93" s="2"/>
      <c r="D93" s="2"/>
      <c r="E93" s="2"/>
      <c r="G93" s="2"/>
      <c r="H93" s="149"/>
      <c r="K93" s="144"/>
      <c r="L93" s="138"/>
      <c r="M93" s="19"/>
      <c r="N93" s="2"/>
    </row>
    <row r="94" spans="1:15" x14ac:dyDescent="0.25">
      <c r="A94" s="1"/>
      <c r="B94" s="2"/>
      <c r="C94" s="2"/>
      <c r="D94" s="2"/>
      <c r="E94" s="2"/>
      <c r="F94" s="2"/>
      <c r="G94" s="2"/>
      <c r="H94" s="149"/>
      <c r="K94" s="144"/>
      <c r="L94" s="138"/>
      <c r="M94" s="19"/>
      <c r="N94" s="2"/>
    </row>
    <row r="95" spans="1:15" x14ac:dyDescent="0.25">
      <c r="A95" s="1"/>
      <c r="B95" s="2"/>
      <c r="C95" s="2"/>
      <c r="D95" s="2"/>
      <c r="E95" s="2"/>
      <c r="F95" s="2"/>
      <c r="G95" s="2"/>
      <c r="H95" s="149"/>
      <c r="K95" s="144"/>
      <c r="L95" s="138"/>
      <c r="M95" s="19"/>
      <c r="N95" s="2"/>
    </row>
    <row r="96" spans="1:15" x14ac:dyDescent="0.25">
      <c r="A96" s="1"/>
      <c r="B96" s="2"/>
      <c r="C96" s="2"/>
      <c r="D96" s="2"/>
      <c r="E96" s="2"/>
      <c r="F96" s="2"/>
      <c r="G96" s="2"/>
      <c r="H96" s="149"/>
      <c r="K96" s="144"/>
      <c r="L96" s="138"/>
      <c r="M96" s="19"/>
      <c r="N96" s="2"/>
    </row>
    <row r="97" spans="1:14" x14ac:dyDescent="0.25">
      <c r="A97" s="1"/>
      <c r="B97" s="2"/>
      <c r="C97" s="2"/>
      <c r="D97" s="2"/>
      <c r="E97" s="2"/>
      <c r="F97" s="2"/>
      <c r="G97" s="2"/>
      <c r="H97" s="149"/>
      <c r="K97" s="144"/>
      <c r="L97" s="138"/>
      <c r="M97" s="19"/>
      <c r="N97" s="2"/>
    </row>
    <row r="98" spans="1:14" x14ac:dyDescent="0.25">
      <c r="A98" s="1"/>
      <c r="B98" s="2"/>
      <c r="C98" s="2"/>
      <c r="D98" s="2"/>
      <c r="E98" s="2"/>
      <c r="F98" s="2"/>
      <c r="G98" s="2"/>
      <c r="H98" s="149"/>
      <c r="K98" s="144"/>
      <c r="L98" s="138"/>
      <c r="M98" s="19"/>
      <c r="N98" s="2"/>
    </row>
    <row r="99" spans="1:14" x14ac:dyDescent="0.25">
      <c r="A99" s="1"/>
      <c r="B99" s="2"/>
      <c r="C99" s="2"/>
      <c r="D99" s="2"/>
      <c r="E99" s="2"/>
      <c r="F99" s="2"/>
      <c r="G99" s="2"/>
      <c r="H99" s="149"/>
      <c r="K99" s="144"/>
      <c r="L99" s="138"/>
      <c r="M99" s="19"/>
      <c r="N99" s="2"/>
    </row>
    <row r="100" spans="1:14" x14ac:dyDescent="0.25">
      <c r="A100" s="1"/>
      <c r="B100" s="2"/>
      <c r="C100" s="2"/>
      <c r="D100" s="2"/>
      <c r="E100" s="2"/>
      <c r="F100" s="2"/>
      <c r="G100" s="2"/>
      <c r="H100" s="149"/>
      <c r="K100" s="144"/>
      <c r="L100" s="138"/>
      <c r="M100" s="19"/>
      <c r="N100" s="2"/>
    </row>
    <row r="101" spans="1:14" x14ac:dyDescent="0.25">
      <c r="A101" s="1"/>
      <c r="B101" s="2"/>
      <c r="C101" s="2"/>
      <c r="D101" s="2"/>
      <c r="E101" s="2"/>
      <c r="F101" s="2"/>
      <c r="G101" s="2"/>
      <c r="H101" s="149"/>
      <c r="K101" s="144"/>
      <c r="L101" s="138"/>
      <c r="M101" s="19"/>
      <c r="N101" s="2"/>
    </row>
    <row r="102" spans="1:14" x14ac:dyDescent="0.25">
      <c r="A102" s="1"/>
      <c r="B102" s="2"/>
      <c r="C102" s="2"/>
      <c r="D102" s="2"/>
      <c r="E102" s="2"/>
      <c r="F102" s="2"/>
      <c r="G102" s="2"/>
      <c r="H102" s="149"/>
      <c r="K102" s="144"/>
      <c r="L102" s="138"/>
      <c r="M102" s="19"/>
      <c r="N102" s="2"/>
    </row>
    <row r="103" spans="1:14" x14ac:dyDescent="0.25">
      <c r="A103" s="1"/>
      <c r="B103" s="2"/>
      <c r="C103" s="2"/>
      <c r="D103" s="2"/>
      <c r="E103" s="2"/>
      <c r="F103" s="2"/>
      <c r="G103" s="2"/>
      <c r="H103" s="149"/>
      <c r="K103" s="144"/>
      <c r="L103" s="138"/>
      <c r="M103" s="19"/>
      <c r="N103" s="2"/>
    </row>
    <row r="104" spans="1:14" x14ac:dyDescent="0.25">
      <c r="A104" s="1"/>
      <c r="B104" s="2"/>
      <c r="C104" s="2"/>
      <c r="D104" s="2"/>
      <c r="E104" s="2"/>
      <c r="F104" s="2"/>
      <c r="G104" s="2"/>
      <c r="H104" s="149"/>
      <c r="K104" s="144"/>
      <c r="L104" s="138"/>
      <c r="M104" s="19"/>
      <c r="N104" s="2"/>
    </row>
    <row r="105" spans="1:14" x14ac:dyDescent="0.25">
      <c r="A105" s="1"/>
      <c r="B105" s="2"/>
      <c r="C105" s="2"/>
      <c r="D105" s="2"/>
      <c r="E105" s="2"/>
      <c r="F105" s="2"/>
      <c r="G105" s="2"/>
      <c r="H105" s="149"/>
      <c r="K105" s="144"/>
      <c r="L105" s="138"/>
      <c r="M105" s="19"/>
      <c r="N105" s="2"/>
    </row>
    <row r="106" spans="1:14" x14ac:dyDescent="0.25">
      <c r="A106" s="1"/>
      <c r="B106" s="2"/>
      <c r="C106" s="2"/>
      <c r="D106" s="2"/>
      <c r="E106" s="2"/>
      <c r="F106" s="2"/>
      <c r="G106" s="2"/>
      <c r="H106" s="149"/>
      <c r="K106" s="144"/>
      <c r="L106" s="138"/>
      <c r="M106" s="19"/>
      <c r="N106" s="2"/>
    </row>
    <row r="107" spans="1:14" x14ac:dyDescent="0.25">
      <c r="A107" s="1"/>
      <c r="B107" s="2"/>
      <c r="C107" s="2"/>
      <c r="D107" s="2"/>
      <c r="E107" s="2"/>
      <c r="F107" s="2"/>
      <c r="G107" s="2"/>
      <c r="H107" s="149"/>
      <c r="K107" s="144"/>
      <c r="L107" s="138"/>
      <c r="M107" s="19"/>
      <c r="N107" s="2"/>
    </row>
    <row r="108" spans="1:14" x14ac:dyDescent="0.25">
      <c r="A108" s="1"/>
      <c r="B108" s="2"/>
      <c r="C108" s="2"/>
      <c r="D108" s="2"/>
      <c r="E108" s="2"/>
      <c r="F108" s="2"/>
      <c r="G108" s="2"/>
      <c r="H108" s="149"/>
      <c r="K108" s="144"/>
      <c r="L108" s="138"/>
      <c r="M108" s="19"/>
      <c r="N108" s="2"/>
    </row>
    <row r="109" spans="1:14" x14ac:dyDescent="0.25">
      <c r="A109" s="1"/>
      <c r="B109" s="2"/>
      <c r="C109" s="2"/>
      <c r="D109" s="2"/>
      <c r="E109" s="2"/>
      <c r="F109" s="2"/>
      <c r="G109" s="2"/>
      <c r="H109" s="149"/>
      <c r="K109" s="144"/>
      <c r="L109" s="138"/>
      <c r="M109" s="19"/>
      <c r="N109" s="2"/>
    </row>
    <row r="110" spans="1:14" x14ac:dyDescent="0.25">
      <c r="A110" s="1"/>
      <c r="B110" s="2"/>
      <c r="C110" s="2"/>
      <c r="D110" s="2"/>
      <c r="E110" s="2"/>
      <c r="F110" s="2"/>
      <c r="G110" s="2"/>
      <c r="H110" s="149"/>
      <c r="K110" s="144"/>
      <c r="L110" s="138"/>
      <c r="M110" s="19"/>
      <c r="N110" s="2"/>
    </row>
    <row r="111" spans="1:14" x14ac:dyDescent="0.25">
      <c r="A111" s="1"/>
      <c r="B111" s="2"/>
      <c r="C111" s="2"/>
      <c r="D111" s="2"/>
      <c r="E111" s="2"/>
      <c r="F111" s="2"/>
      <c r="G111" s="2"/>
      <c r="H111" s="149"/>
      <c r="K111" s="144"/>
      <c r="L111" s="138"/>
      <c r="M111" s="19"/>
      <c r="N111" s="2"/>
    </row>
    <row r="112" spans="1:14" x14ac:dyDescent="0.25">
      <c r="A112" s="1"/>
      <c r="B112" s="2"/>
      <c r="C112" s="2"/>
      <c r="D112" s="2"/>
      <c r="E112" s="2"/>
      <c r="F112" s="2"/>
      <c r="G112" s="2"/>
      <c r="H112" s="149"/>
      <c r="K112" s="144"/>
      <c r="L112" s="138"/>
      <c r="M112" s="19"/>
      <c r="N112" s="2"/>
    </row>
    <row r="113" spans="1:17" x14ac:dyDescent="0.25">
      <c r="A113" s="1"/>
      <c r="B113" s="2"/>
      <c r="C113" s="2"/>
      <c r="D113" s="2"/>
      <c r="F113" s="2"/>
      <c r="G113" s="2"/>
      <c r="H113" s="149"/>
      <c r="K113" s="144"/>
      <c r="L113" s="138"/>
      <c r="M113" s="19"/>
      <c r="N113" s="2"/>
    </row>
    <row r="114" spans="1:17" x14ac:dyDescent="0.25">
      <c r="A114" s="1"/>
      <c r="B114" s="2"/>
      <c r="C114" s="2"/>
      <c r="D114" s="2"/>
      <c r="E114" s="2"/>
      <c r="F114" s="20"/>
      <c r="G114" s="2"/>
      <c r="H114" s="149"/>
      <c r="K114" s="144"/>
      <c r="L114" s="138"/>
      <c r="M114" s="19"/>
      <c r="N114" s="2"/>
      <c r="O114" s="141"/>
    </row>
    <row r="115" spans="1:17" x14ac:dyDescent="0.25">
      <c r="A115" s="1"/>
      <c r="B115" s="2"/>
      <c r="C115" s="2"/>
      <c r="D115" s="2"/>
      <c r="E115" s="2"/>
      <c r="F115" s="20"/>
      <c r="G115" s="2"/>
      <c r="H115" s="149"/>
      <c r="K115" s="144"/>
      <c r="L115" s="138"/>
      <c r="M115" s="19"/>
      <c r="N115" s="2"/>
      <c r="O115" s="141"/>
    </row>
    <row r="116" spans="1:17" x14ac:dyDescent="0.25">
      <c r="A116" s="1"/>
      <c r="B116" s="2"/>
      <c r="C116" s="2"/>
      <c r="D116" s="2"/>
      <c r="E116" s="2"/>
      <c r="F116" s="2"/>
      <c r="G116" s="2"/>
      <c r="H116" s="149"/>
      <c r="K116" s="144"/>
      <c r="L116" s="138"/>
      <c r="M116" s="19"/>
      <c r="N116" s="2"/>
    </row>
    <row r="117" spans="1:17" x14ac:dyDescent="0.25">
      <c r="A117" s="1"/>
      <c r="B117" s="2"/>
      <c r="C117" s="2"/>
      <c r="D117" s="2"/>
      <c r="E117" s="2"/>
      <c r="F117" s="2"/>
      <c r="G117" s="2"/>
      <c r="H117" s="149"/>
      <c r="K117" s="144"/>
      <c r="L117" s="138"/>
      <c r="M117" s="19"/>
      <c r="N117" s="2"/>
    </row>
    <row r="118" spans="1:17" x14ac:dyDescent="0.25">
      <c r="A118" s="1"/>
      <c r="B118" s="2"/>
      <c r="C118" s="2"/>
      <c r="D118" s="2"/>
      <c r="E118" s="2"/>
      <c r="F118" s="2"/>
      <c r="G118" s="2"/>
      <c r="H118" s="149"/>
      <c r="K118" s="144"/>
      <c r="L118" s="138"/>
      <c r="M118" s="19"/>
      <c r="N118" s="2"/>
    </row>
    <row r="119" spans="1:17" x14ac:dyDescent="0.25">
      <c r="A119" s="1"/>
      <c r="B119" s="2"/>
      <c r="C119" s="2"/>
      <c r="D119" s="2"/>
      <c r="E119" s="2"/>
      <c r="F119" s="2"/>
      <c r="G119" s="2"/>
      <c r="H119" s="149"/>
      <c r="K119" s="144"/>
      <c r="L119" s="138"/>
      <c r="M119" s="19"/>
      <c r="N119" s="2"/>
    </row>
    <row r="120" spans="1:17" x14ac:dyDescent="0.25">
      <c r="A120" s="1"/>
      <c r="B120" s="2"/>
      <c r="C120" s="2"/>
      <c r="D120" s="2"/>
      <c r="E120" s="2"/>
      <c r="F120" s="2"/>
      <c r="G120" s="2"/>
      <c r="H120" s="149"/>
      <c r="K120" s="144"/>
      <c r="L120" s="138"/>
      <c r="M120" s="19"/>
      <c r="N120" s="2"/>
    </row>
    <row r="121" spans="1:17" x14ac:dyDescent="0.25">
      <c r="A121" s="1"/>
      <c r="B121" s="2"/>
      <c r="C121" s="2"/>
      <c r="D121" s="2"/>
      <c r="E121" s="2"/>
      <c r="F121" s="2"/>
      <c r="G121" s="2"/>
      <c r="H121" s="149"/>
      <c r="K121" s="144"/>
      <c r="L121" s="138"/>
      <c r="M121" s="19"/>
      <c r="N121" s="2"/>
    </row>
    <row r="122" spans="1:17" x14ac:dyDescent="0.25">
      <c r="A122" s="1"/>
      <c r="B122" s="2"/>
      <c r="C122" s="2"/>
      <c r="D122" s="2"/>
      <c r="E122" s="2"/>
      <c r="F122" s="2"/>
      <c r="G122" s="2"/>
      <c r="H122" s="149"/>
      <c r="K122" s="144"/>
      <c r="L122" s="138"/>
      <c r="M122" s="19"/>
      <c r="N122" s="2"/>
    </row>
    <row r="123" spans="1:17" x14ac:dyDescent="0.25">
      <c r="A123" s="1"/>
      <c r="B123" s="2"/>
      <c r="C123" s="2"/>
      <c r="D123" s="2"/>
      <c r="E123" s="2"/>
      <c r="F123" s="2"/>
      <c r="G123" s="2"/>
      <c r="H123" s="149"/>
      <c r="K123" s="144"/>
      <c r="L123" s="138"/>
      <c r="M123" s="19"/>
      <c r="N123" s="2"/>
    </row>
    <row r="124" spans="1:17" x14ac:dyDescent="0.25">
      <c r="A124" s="1"/>
      <c r="B124" s="2"/>
      <c r="C124" s="2"/>
      <c r="D124" s="2"/>
      <c r="E124" s="2"/>
      <c r="F124" s="2"/>
      <c r="G124" s="2"/>
      <c r="H124" s="149"/>
      <c r="K124" s="144"/>
      <c r="L124" s="138"/>
      <c r="M124" s="19"/>
      <c r="N124" s="2"/>
    </row>
    <row r="125" spans="1:17" x14ac:dyDescent="0.25">
      <c r="A125" s="1"/>
      <c r="B125" s="2"/>
      <c r="C125" s="2"/>
      <c r="D125" s="2"/>
      <c r="E125" s="2"/>
      <c r="F125" s="2"/>
      <c r="G125" s="2"/>
      <c r="H125" s="149"/>
      <c r="K125" s="144"/>
      <c r="L125" s="138"/>
      <c r="M125" s="19"/>
      <c r="N125" s="2"/>
    </row>
    <row r="126" spans="1:17" x14ac:dyDescent="0.25">
      <c r="A126" s="1"/>
      <c r="B126" s="2"/>
      <c r="C126" s="2"/>
      <c r="D126" s="2"/>
      <c r="E126" s="2"/>
      <c r="F126" s="2"/>
      <c r="G126" s="2"/>
      <c r="H126" s="149"/>
      <c r="K126" s="144"/>
      <c r="L126" s="138"/>
      <c r="M126" s="19"/>
      <c r="N126" s="2"/>
    </row>
    <row r="127" spans="1:17" x14ac:dyDescent="0.25">
      <c r="A127" s="1"/>
      <c r="B127" s="2"/>
      <c r="C127" s="2"/>
      <c r="D127" s="2"/>
      <c r="E127" s="2"/>
      <c r="F127" s="20"/>
      <c r="G127" s="2"/>
      <c r="H127" s="149"/>
      <c r="K127" s="144"/>
      <c r="L127" s="138"/>
      <c r="M127" s="19"/>
      <c r="N127" s="2"/>
      <c r="O127" s="141"/>
      <c r="Q127" s="26"/>
    </row>
    <row r="128" spans="1:17" x14ac:dyDescent="0.25">
      <c r="A128" s="1"/>
      <c r="B128" s="2"/>
      <c r="C128" s="2"/>
      <c r="D128" s="2"/>
      <c r="E128" s="2"/>
      <c r="F128" s="2"/>
      <c r="G128" s="2"/>
      <c r="H128" s="149"/>
      <c r="K128" s="144"/>
      <c r="L128" s="138"/>
      <c r="M128" s="19"/>
      <c r="N128" s="2"/>
      <c r="Q128" s="26"/>
    </row>
    <row r="129" spans="1:15" x14ac:dyDescent="0.25">
      <c r="A129" s="1"/>
      <c r="B129" s="2"/>
      <c r="C129" s="2"/>
      <c r="D129" s="2"/>
      <c r="E129" s="2"/>
      <c r="F129" s="2"/>
      <c r="G129" s="2"/>
      <c r="H129" s="149"/>
      <c r="K129" s="144"/>
      <c r="L129" s="138"/>
      <c r="M129" s="19"/>
      <c r="N129" s="2"/>
    </row>
    <row r="130" spans="1:15" x14ac:dyDescent="0.25">
      <c r="A130" s="1"/>
      <c r="B130" s="2"/>
      <c r="C130" s="2"/>
      <c r="D130" s="2"/>
      <c r="F130" s="2"/>
      <c r="G130" s="2"/>
      <c r="H130" s="149"/>
      <c r="K130" s="144"/>
      <c r="L130" s="138"/>
      <c r="M130" s="19"/>
      <c r="N130" s="2"/>
    </row>
    <row r="131" spans="1:15" x14ac:dyDescent="0.25">
      <c r="A131" s="1"/>
      <c r="B131" s="2"/>
      <c r="C131" s="2"/>
      <c r="D131" s="2"/>
      <c r="E131" s="2"/>
      <c r="F131" s="2"/>
      <c r="G131" s="2"/>
      <c r="H131" s="149"/>
      <c r="K131" s="144"/>
      <c r="L131" s="138"/>
      <c r="M131" s="19"/>
      <c r="N131" s="2"/>
    </row>
    <row r="132" spans="1:15" x14ac:dyDescent="0.25">
      <c r="A132" s="1"/>
      <c r="B132" s="2"/>
      <c r="C132" s="2"/>
      <c r="D132" s="2"/>
      <c r="E132" s="2"/>
      <c r="F132" s="2"/>
      <c r="G132" s="2"/>
      <c r="H132" s="149"/>
      <c r="K132" s="144"/>
      <c r="L132" s="138"/>
      <c r="M132" s="19"/>
      <c r="N132" s="2"/>
    </row>
    <row r="133" spans="1:15" x14ac:dyDescent="0.25">
      <c r="A133" s="1"/>
      <c r="B133" s="2"/>
      <c r="C133" s="2"/>
      <c r="D133" s="2"/>
      <c r="F133" s="2"/>
      <c r="G133" s="2"/>
      <c r="H133" s="149"/>
      <c r="K133" s="144"/>
      <c r="L133" s="138"/>
      <c r="M133" s="19"/>
      <c r="N133" s="2"/>
    </row>
    <row r="134" spans="1:15" x14ac:dyDescent="0.25">
      <c r="A134" s="1"/>
      <c r="B134" s="2"/>
      <c r="C134" s="2"/>
      <c r="D134" s="2"/>
      <c r="E134" s="2"/>
      <c r="F134" s="2"/>
      <c r="G134" s="2"/>
      <c r="H134" s="149"/>
      <c r="K134" s="144"/>
      <c r="L134" s="138"/>
      <c r="M134" s="19"/>
      <c r="N134" s="2"/>
    </row>
    <row r="135" spans="1:15" x14ac:dyDescent="0.25">
      <c r="A135" s="1"/>
      <c r="B135" s="2"/>
      <c r="C135" s="2"/>
      <c r="D135" s="2"/>
      <c r="G135" s="2"/>
      <c r="H135" s="149"/>
      <c r="K135" s="144"/>
      <c r="L135" s="138"/>
      <c r="M135" s="19"/>
      <c r="N135" s="2"/>
    </row>
    <row r="136" spans="1:15" x14ac:dyDescent="0.25">
      <c r="A136" s="1"/>
      <c r="B136" s="2"/>
      <c r="C136" s="2"/>
      <c r="D136" s="2"/>
      <c r="E136" s="2"/>
      <c r="F136" s="20"/>
      <c r="G136" s="2"/>
      <c r="H136" s="149"/>
      <c r="K136" s="144"/>
      <c r="L136" s="138"/>
      <c r="M136" s="19"/>
      <c r="N136" s="2"/>
      <c r="O136" s="141"/>
    </row>
    <row r="137" spans="1:15" x14ac:dyDescent="0.25">
      <c r="A137" s="1"/>
      <c r="B137" s="2"/>
      <c r="C137" s="2"/>
      <c r="D137" s="2"/>
      <c r="E137" s="2"/>
      <c r="F137" s="2"/>
      <c r="G137" s="2"/>
      <c r="H137" s="149"/>
      <c r="K137" s="144"/>
      <c r="L137" s="138"/>
      <c r="M137" s="19"/>
      <c r="N137" s="2"/>
    </row>
    <row r="138" spans="1:15" x14ac:dyDescent="0.25">
      <c r="A138" s="1"/>
      <c r="B138" s="2"/>
      <c r="C138" s="2"/>
      <c r="D138" s="2"/>
      <c r="E138" s="2"/>
      <c r="F138" s="2"/>
      <c r="G138" s="2"/>
      <c r="H138" s="149"/>
      <c r="K138" s="144"/>
      <c r="L138" s="138"/>
      <c r="M138" s="19"/>
      <c r="N138" s="2"/>
    </row>
    <row r="139" spans="1:15" x14ac:dyDescent="0.25">
      <c r="A139" s="1"/>
      <c r="B139" s="2"/>
      <c r="C139" s="2"/>
      <c r="D139" s="2"/>
      <c r="F139" s="2"/>
      <c r="G139" s="2"/>
      <c r="H139" s="149"/>
      <c r="K139" s="144"/>
      <c r="L139" s="138"/>
      <c r="M139" s="19"/>
      <c r="N139" s="2"/>
    </row>
    <row r="140" spans="1:15" x14ac:dyDescent="0.25">
      <c r="A140" s="1"/>
      <c r="B140" s="2"/>
      <c r="D140" s="2"/>
      <c r="E140" s="2"/>
      <c r="G140" s="2"/>
      <c r="K140" s="144"/>
      <c r="M140" s="19"/>
      <c r="N140" s="2"/>
    </row>
    <row r="141" spans="1:15" x14ac:dyDescent="0.25">
      <c r="A141" s="1"/>
      <c r="B141" s="2"/>
      <c r="C141" s="2"/>
      <c r="D141" s="2"/>
      <c r="F141" s="2"/>
      <c r="G141" s="2"/>
      <c r="H141" s="149"/>
      <c r="K141" s="144"/>
      <c r="L141" s="138"/>
      <c r="M141" s="19"/>
      <c r="N141" s="2"/>
    </row>
    <row r="142" spans="1:15" x14ac:dyDescent="0.25">
      <c r="A142" s="1"/>
      <c r="B142" s="2"/>
      <c r="C142" s="2"/>
      <c r="D142" s="2"/>
      <c r="E142" s="2"/>
      <c r="F142" s="2"/>
      <c r="G142" s="2"/>
      <c r="H142" s="149"/>
      <c r="K142" s="144"/>
      <c r="L142" s="138"/>
      <c r="M142" s="19"/>
      <c r="N142" s="2"/>
    </row>
    <row r="143" spans="1:15" x14ac:dyDescent="0.25">
      <c r="A143" s="1"/>
      <c r="B143" s="2"/>
      <c r="C143" s="2"/>
      <c r="D143" s="2"/>
      <c r="E143" s="2"/>
      <c r="F143" s="2"/>
      <c r="G143" s="2"/>
      <c r="H143" s="149"/>
      <c r="K143" s="144"/>
      <c r="L143" s="138"/>
      <c r="M143" s="19"/>
      <c r="N143" s="2"/>
    </row>
    <row r="144" spans="1:15" x14ac:dyDescent="0.25">
      <c r="A144" s="1"/>
      <c r="B144" s="2"/>
      <c r="C144" s="2"/>
      <c r="D144" s="2"/>
      <c r="E144" s="2"/>
      <c r="F144" s="2"/>
      <c r="G144" s="2"/>
      <c r="H144" s="149"/>
      <c r="K144" s="144"/>
      <c r="L144" s="138"/>
      <c r="M144" s="19"/>
      <c r="N144" s="2"/>
    </row>
    <row r="145" spans="1:15" x14ac:dyDescent="0.25">
      <c r="A145" s="1"/>
      <c r="B145" s="2"/>
      <c r="C145" s="2"/>
      <c r="D145" s="2"/>
      <c r="E145" s="2"/>
      <c r="F145" s="2"/>
      <c r="G145" s="2"/>
      <c r="H145" s="149"/>
      <c r="K145" s="144"/>
      <c r="L145" s="138"/>
      <c r="M145" s="19"/>
      <c r="N145" s="2"/>
    </row>
    <row r="146" spans="1:15" x14ac:dyDescent="0.25">
      <c r="A146" s="1"/>
      <c r="B146" s="2"/>
      <c r="C146" s="2"/>
      <c r="D146" s="2"/>
      <c r="E146" s="2"/>
      <c r="F146" s="2"/>
      <c r="G146" s="2"/>
      <c r="H146" s="149"/>
      <c r="K146" s="144"/>
      <c r="L146" s="138"/>
      <c r="M146" s="19"/>
      <c r="N146" s="2"/>
    </row>
    <row r="147" spans="1:15" x14ac:dyDescent="0.25">
      <c r="A147" s="1"/>
      <c r="B147" s="2"/>
      <c r="C147" s="2"/>
      <c r="D147" s="2"/>
      <c r="E147" s="2"/>
      <c r="F147" s="2"/>
      <c r="G147" s="2"/>
      <c r="H147" s="149"/>
      <c r="K147" s="144"/>
      <c r="L147" s="138"/>
      <c r="M147" s="19"/>
      <c r="N147" s="2"/>
    </row>
    <row r="148" spans="1:15" x14ac:dyDescent="0.25">
      <c r="A148" s="1"/>
      <c r="B148" s="2"/>
      <c r="C148" s="2"/>
      <c r="D148" s="2"/>
      <c r="E148" s="2"/>
      <c r="F148" s="2"/>
      <c r="G148" s="2"/>
      <c r="H148" s="149"/>
      <c r="K148" s="144"/>
      <c r="L148" s="138"/>
      <c r="M148" s="19"/>
      <c r="N148" s="2"/>
    </row>
    <row r="149" spans="1:15" x14ac:dyDescent="0.25">
      <c r="A149" s="1"/>
      <c r="B149" s="2"/>
      <c r="C149" s="2"/>
      <c r="D149" s="2"/>
      <c r="E149" s="2"/>
      <c r="F149" s="2"/>
      <c r="G149" s="2"/>
      <c r="H149" s="149"/>
      <c r="K149" s="144"/>
      <c r="L149" s="138"/>
      <c r="M149" s="19"/>
      <c r="N149" s="2"/>
    </row>
    <row r="150" spans="1:15" x14ac:dyDescent="0.25">
      <c r="A150" s="1"/>
      <c r="B150" s="2"/>
      <c r="C150" s="2"/>
      <c r="D150" s="2"/>
      <c r="E150" s="2"/>
      <c r="F150" s="2"/>
      <c r="G150" s="2"/>
      <c r="H150" s="149"/>
      <c r="K150" s="144"/>
      <c r="L150" s="138"/>
      <c r="M150" s="19"/>
      <c r="N150" s="2"/>
    </row>
    <row r="151" spans="1:15" x14ac:dyDescent="0.25">
      <c r="A151" s="1"/>
      <c r="B151" s="2"/>
      <c r="C151" s="2"/>
      <c r="D151" s="2"/>
      <c r="E151" s="2"/>
      <c r="F151" s="20"/>
      <c r="G151" s="2"/>
      <c r="H151" s="149"/>
      <c r="K151" s="144"/>
      <c r="L151" s="138"/>
      <c r="M151" s="19"/>
      <c r="N151" s="2"/>
      <c r="O151" s="5"/>
    </row>
    <row r="152" spans="1:15" x14ac:dyDescent="0.25">
      <c r="A152" s="1"/>
      <c r="B152" s="2"/>
      <c r="C152" s="2"/>
      <c r="D152" s="2"/>
      <c r="E152" s="2"/>
      <c r="F152" s="2"/>
      <c r="G152" s="2"/>
      <c r="H152" s="149"/>
      <c r="K152" s="144"/>
      <c r="L152" s="138"/>
      <c r="M152" s="19"/>
      <c r="N152" s="2"/>
    </row>
    <row r="153" spans="1:15" x14ac:dyDescent="0.25">
      <c r="A153" s="1"/>
      <c r="B153" s="2"/>
      <c r="C153" s="2"/>
      <c r="D153" s="2"/>
      <c r="E153" s="2"/>
      <c r="F153" s="2"/>
      <c r="G153" s="2"/>
      <c r="H153" s="149"/>
      <c r="K153" s="144"/>
      <c r="L153" s="138"/>
      <c r="M153" s="19"/>
      <c r="N153" s="2"/>
    </row>
    <row r="154" spans="1:15" x14ac:dyDescent="0.25">
      <c r="A154" s="1"/>
      <c r="B154" s="2"/>
      <c r="C154" s="2"/>
      <c r="D154" s="2"/>
      <c r="E154" s="2"/>
      <c r="F154" s="2"/>
      <c r="G154" s="2"/>
      <c r="H154" s="149"/>
      <c r="K154" s="144"/>
      <c r="L154" s="138"/>
      <c r="M154" s="19"/>
      <c r="N154" s="2"/>
    </row>
    <row r="155" spans="1:15" x14ac:dyDescent="0.25">
      <c r="A155" s="1"/>
      <c r="B155" s="2"/>
      <c r="C155" s="2"/>
      <c r="D155" s="2"/>
      <c r="E155" s="2"/>
      <c r="F155" s="2"/>
      <c r="G155" s="2"/>
      <c r="H155" s="149"/>
      <c r="K155" s="144"/>
      <c r="L155" s="138"/>
      <c r="M155" s="19"/>
      <c r="N155" s="2"/>
    </row>
    <row r="156" spans="1:15" x14ac:dyDescent="0.25">
      <c r="A156" s="1"/>
      <c r="B156" s="2"/>
      <c r="C156" s="2"/>
      <c r="D156" s="2"/>
      <c r="F156" s="2"/>
      <c r="G156" s="2"/>
      <c r="H156" s="149"/>
      <c r="K156" s="144"/>
      <c r="L156" s="138"/>
      <c r="M156" s="19"/>
      <c r="N156" s="2"/>
    </row>
    <row r="157" spans="1:15" x14ac:dyDescent="0.25">
      <c r="A157" s="1"/>
      <c r="B157" s="2"/>
      <c r="C157" s="2"/>
      <c r="D157" s="2"/>
      <c r="E157" s="2"/>
      <c r="F157" s="2"/>
      <c r="G157" s="2"/>
      <c r="H157" s="149"/>
      <c r="K157" s="144"/>
      <c r="L157" s="138"/>
      <c r="M157" s="19"/>
      <c r="N157" s="2"/>
    </row>
    <row r="158" spans="1:15" x14ac:dyDescent="0.25">
      <c r="A158" s="1"/>
      <c r="B158" s="2"/>
      <c r="C158" s="2"/>
      <c r="D158" s="2"/>
      <c r="E158" s="2"/>
      <c r="F158" s="2"/>
      <c r="G158" s="2"/>
      <c r="H158" s="149"/>
      <c r="K158" s="144"/>
      <c r="L158" s="138"/>
      <c r="M158" s="19"/>
      <c r="N158" s="2"/>
    </row>
    <row r="159" spans="1:15" x14ac:dyDescent="0.25">
      <c r="A159" s="1"/>
      <c r="B159" s="2"/>
      <c r="C159" s="2"/>
      <c r="D159" s="2"/>
      <c r="E159" s="2"/>
      <c r="F159" s="2"/>
      <c r="G159" s="2"/>
      <c r="H159" s="149"/>
      <c r="K159" s="144"/>
      <c r="L159" s="138"/>
      <c r="M159" s="19"/>
      <c r="N159" s="2"/>
    </row>
    <row r="160" spans="1:15" x14ac:dyDescent="0.25">
      <c r="A160" s="1"/>
      <c r="B160" s="2"/>
      <c r="C160" s="2"/>
      <c r="D160" s="2"/>
      <c r="E160" s="2"/>
      <c r="F160" s="2"/>
      <c r="G160" s="2"/>
      <c r="H160" s="149"/>
      <c r="K160" s="144"/>
      <c r="L160" s="138"/>
      <c r="M160" s="19"/>
      <c r="N160" s="2"/>
    </row>
    <row r="161" spans="1:16" x14ac:dyDescent="0.25">
      <c r="A161" s="1"/>
      <c r="B161" s="2"/>
      <c r="C161" s="2"/>
      <c r="D161" s="2"/>
      <c r="E161" s="2"/>
      <c r="F161" s="20"/>
      <c r="G161" s="2"/>
      <c r="H161" s="149"/>
      <c r="K161" s="144"/>
      <c r="L161" s="138"/>
      <c r="M161" s="19"/>
      <c r="N161" s="2"/>
      <c r="O161" s="141"/>
      <c r="P161" s="26"/>
    </row>
    <row r="162" spans="1:16" x14ac:dyDescent="0.25">
      <c r="A162" s="1"/>
      <c r="B162" s="2"/>
      <c r="C162" s="2"/>
      <c r="D162" s="2"/>
      <c r="E162" s="2"/>
      <c r="F162" s="20"/>
      <c r="G162" s="2"/>
      <c r="H162" s="149"/>
      <c r="K162" s="144"/>
      <c r="L162" s="138"/>
      <c r="M162" s="19"/>
      <c r="N162" s="2"/>
      <c r="O162" s="141"/>
    </row>
    <row r="163" spans="1:16" x14ac:dyDescent="0.25">
      <c r="A163" s="1"/>
      <c r="B163" s="2"/>
      <c r="C163" s="2"/>
      <c r="D163" s="2"/>
      <c r="E163" s="2"/>
      <c r="F163" s="2"/>
      <c r="G163" s="2"/>
      <c r="H163" s="149"/>
      <c r="K163" s="144"/>
      <c r="L163" s="138"/>
      <c r="M163" s="19"/>
      <c r="N163" s="2"/>
    </row>
    <row r="164" spans="1:16" x14ac:dyDescent="0.25">
      <c r="A164" s="1"/>
      <c r="B164" s="2"/>
      <c r="C164" s="2"/>
      <c r="D164" s="2"/>
      <c r="E164" s="2"/>
      <c r="F164" s="2"/>
      <c r="G164" s="2"/>
      <c r="H164" s="149"/>
      <c r="K164" s="144"/>
      <c r="L164" s="138"/>
      <c r="M164" s="19"/>
      <c r="N164" s="2"/>
    </row>
    <row r="165" spans="1:16" x14ac:dyDescent="0.25">
      <c r="A165" s="1"/>
      <c r="B165" s="2"/>
      <c r="C165" s="2"/>
      <c r="D165" s="2"/>
      <c r="E165" s="2"/>
      <c r="F165" s="20"/>
      <c r="G165" s="2"/>
      <c r="H165" s="149"/>
      <c r="K165" s="144"/>
      <c r="L165" s="138"/>
      <c r="M165" s="19"/>
      <c r="N165" s="2"/>
      <c r="O165" s="141"/>
    </row>
    <row r="166" spans="1:16" x14ac:dyDescent="0.25">
      <c r="A166" s="1"/>
      <c r="B166" s="2"/>
      <c r="C166" s="2"/>
      <c r="D166" s="2"/>
      <c r="E166" s="2"/>
      <c r="F166" s="2"/>
      <c r="G166" s="2"/>
      <c r="H166" s="149"/>
      <c r="K166" s="84"/>
      <c r="L166" s="138"/>
      <c r="M166" s="19"/>
      <c r="N166" s="2"/>
    </row>
    <row r="167" spans="1:16" x14ac:dyDescent="0.25">
      <c r="A167" s="1"/>
      <c r="B167" s="2"/>
      <c r="C167" s="2"/>
      <c r="D167" s="2"/>
      <c r="E167" s="2"/>
      <c r="F167" s="2"/>
      <c r="G167" s="2"/>
      <c r="H167" s="149"/>
      <c r="K167" s="84"/>
      <c r="L167" s="138"/>
      <c r="M167" s="19"/>
      <c r="N167" s="2"/>
    </row>
    <row r="168" spans="1:16" x14ac:dyDescent="0.25">
      <c r="A168" s="1"/>
      <c r="B168" s="2"/>
      <c r="C168" s="2"/>
      <c r="D168" s="2"/>
      <c r="E168" s="2"/>
      <c r="F168" s="2"/>
      <c r="G168" s="2"/>
      <c r="H168" s="149"/>
      <c r="K168" s="84"/>
      <c r="L168" s="138"/>
      <c r="M168" s="19"/>
      <c r="N168" s="2"/>
    </row>
    <row r="169" spans="1:16" x14ac:dyDescent="0.25">
      <c r="A169" s="1"/>
      <c r="B169" s="2"/>
      <c r="C169" s="2"/>
      <c r="D169" s="2"/>
      <c r="E169" s="2"/>
      <c r="F169" s="2"/>
      <c r="G169" s="2"/>
      <c r="H169" s="149"/>
      <c r="K169" s="84"/>
      <c r="L169" s="138"/>
      <c r="M169" s="19"/>
      <c r="N169" s="2"/>
    </row>
    <row r="170" spans="1:16" x14ac:dyDescent="0.25">
      <c r="A170" s="1"/>
      <c r="B170" s="2"/>
      <c r="C170" s="2"/>
      <c r="D170" s="2"/>
      <c r="E170" s="2"/>
      <c r="F170" s="2"/>
      <c r="G170" s="2"/>
      <c r="H170" s="149"/>
      <c r="K170" s="84"/>
      <c r="L170" s="138"/>
      <c r="M170" s="19"/>
      <c r="N170" s="2"/>
    </row>
    <row r="171" spans="1:16" x14ac:dyDescent="0.25">
      <c r="A171" s="1"/>
      <c r="B171" s="2"/>
      <c r="C171" s="2"/>
      <c r="D171" s="2"/>
      <c r="E171" s="2"/>
      <c r="F171" s="2"/>
      <c r="G171" s="2"/>
      <c r="H171" s="149"/>
      <c r="K171" s="84"/>
      <c r="L171" s="138"/>
      <c r="M171" s="19"/>
      <c r="N171" s="2"/>
    </row>
    <row r="172" spans="1:16" x14ac:dyDescent="0.25">
      <c r="A172" s="1"/>
      <c r="B172" s="2"/>
      <c r="C172" s="2"/>
      <c r="D172" s="2"/>
      <c r="E172" s="2"/>
      <c r="F172" s="2"/>
      <c r="G172" s="2"/>
      <c r="H172" s="149"/>
      <c r="K172" s="84"/>
      <c r="L172" s="138"/>
      <c r="M172" s="19"/>
      <c r="N172" s="2"/>
    </row>
    <row r="173" spans="1:16" x14ac:dyDescent="0.25">
      <c r="A173" s="1"/>
      <c r="B173" s="2"/>
      <c r="C173" s="2"/>
      <c r="D173" s="2"/>
      <c r="E173" s="2"/>
      <c r="F173" s="20"/>
      <c r="G173" s="2"/>
      <c r="H173" s="149"/>
      <c r="K173" s="84"/>
      <c r="L173" s="138"/>
      <c r="M173" s="19"/>
      <c r="N173" s="2"/>
      <c r="O173" s="5"/>
    </row>
    <row r="174" spans="1:16" x14ac:dyDescent="0.25">
      <c r="A174" s="1"/>
      <c r="B174" s="2"/>
      <c r="C174" s="2"/>
      <c r="D174" s="2"/>
      <c r="E174" s="2"/>
      <c r="F174" s="2"/>
      <c r="G174" s="2"/>
      <c r="H174" s="149"/>
      <c r="K174" s="84"/>
      <c r="L174" s="138"/>
      <c r="M174" s="19"/>
      <c r="N174" s="2"/>
    </row>
    <row r="175" spans="1:16" x14ac:dyDescent="0.25">
      <c r="A175" s="1"/>
      <c r="B175" s="2"/>
      <c r="C175" s="2"/>
      <c r="D175" s="2"/>
      <c r="E175" s="2"/>
      <c r="F175" s="2"/>
      <c r="G175" s="2"/>
      <c r="H175" s="149"/>
      <c r="K175" s="84"/>
      <c r="L175" s="138"/>
      <c r="M175" s="19"/>
      <c r="N175" s="2"/>
    </row>
    <row r="176" spans="1:16" x14ac:dyDescent="0.25">
      <c r="A176" s="1"/>
      <c r="B176" s="2"/>
      <c r="C176" s="2"/>
      <c r="D176" s="2"/>
      <c r="E176" s="2"/>
      <c r="F176" s="2"/>
      <c r="G176" s="2"/>
      <c r="H176" s="149"/>
      <c r="K176" s="84"/>
      <c r="L176" s="138"/>
      <c r="M176" s="19"/>
      <c r="N176" s="2"/>
    </row>
    <row r="177" spans="2:14" x14ac:dyDescent="0.25">
      <c r="B177" s="2"/>
      <c r="C177" s="2"/>
      <c r="D177" s="2"/>
      <c r="E177" s="2"/>
      <c r="F177" s="2"/>
      <c r="G177" s="2"/>
      <c r="H177" s="149"/>
      <c r="K177" s="84"/>
      <c r="L177" s="138"/>
      <c r="M177" s="19"/>
      <c r="N177" s="2"/>
    </row>
    <row r="178" spans="2:14" x14ac:dyDescent="0.25">
      <c r="B178" s="2"/>
      <c r="C178" s="2"/>
      <c r="D178" s="2"/>
      <c r="E178" s="2"/>
      <c r="F178" s="2"/>
      <c r="G178" s="2"/>
      <c r="H178" s="149"/>
      <c r="K178" s="84"/>
      <c r="L178" s="138"/>
      <c r="M178" s="19"/>
      <c r="N178" s="2"/>
    </row>
    <row r="179" spans="2:14" x14ac:dyDescent="0.25">
      <c r="B179" s="2"/>
      <c r="C179" s="2"/>
      <c r="D179" s="2"/>
      <c r="E179" s="2"/>
      <c r="F179" s="2"/>
      <c r="G179" s="2"/>
      <c r="H179" s="149"/>
      <c r="K179" s="84"/>
      <c r="L179" s="138"/>
      <c r="M179" s="19"/>
      <c r="N179" s="2"/>
    </row>
    <row r="180" spans="2:14" x14ac:dyDescent="0.25">
      <c r="B180" s="2"/>
      <c r="C180" s="2"/>
      <c r="D180" s="2"/>
      <c r="E180" s="2"/>
      <c r="F180" s="2"/>
      <c r="G180" s="2"/>
      <c r="H180" s="149"/>
      <c r="K180" s="84"/>
      <c r="L180" s="138"/>
      <c r="M180" s="19"/>
      <c r="N180" s="2"/>
    </row>
    <row r="181" spans="2:14" x14ac:dyDescent="0.25">
      <c r="B181" s="2"/>
      <c r="C181" s="2"/>
      <c r="D181" s="2"/>
      <c r="E181" s="2"/>
      <c r="F181" s="2"/>
      <c r="G181" s="2"/>
      <c r="H181" s="149"/>
      <c r="K181" s="84"/>
      <c r="L181" s="138"/>
      <c r="M181" s="19"/>
      <c r="N181" s="2"/>
    </row>
    <row r="182" spans="2:14" x14ac:dyDescent="0.25">
      <c r="B182" s="2"/>
      <c r="C182" s="2"/>
      <c r="D182" s="2"/>
      <c r="E182" s="2"/>
      <c r="F182" s="2"/>
      <c r="G182" s="2"/>
      <c r="H182" s="149"/>
      <c r="K182" s="84"/>
      <c r="L182" s="138"/>
      <c r="M182" s="19"/>
      <c r="N182" s="2"/>
    </row>
    <row r="183" spans="2:14" x14ac:dyDescent="0.25">
      <c r="B183" s="2"/>
      <c r="C183" s="2"/>
      <c r="D183" s="2"/>
      <c r="E183" s="2"/>
      <c r="F183" s="2"/>
      <c r="G183" s="2"/>
      <c r="H183" s="149"/>
      <c r="K183" s="84"/>
      <c r="L183" s="138"/>
      <c r="M183" s="19"/>
      <c r="N183" s="2"/>
    </row>
    <row r="184" spans="2:14" x14ac:dyDescent="0.25">
      <c r="B184" s="2"/>
      <c r="C184" s="2"/>
      <c r="D184" s="2"/>
      <c r="E184" s="2"/>
      <c r="F184" s="2"/>
      <c r="G184" s="2"/>
      <c r="H184" s="149"/>
      <c r="K184" s="84"/>
      <c r="L184" s="138"/>
      <c r="M184" s="19"/>
      <c r="N184" s="2"/>
    </row>
    <row r="185" spans="2:14" x14ac:dyDescent="0.25">
      <c r="B185" s="2"/>
      <c r="C185" s="2"/>
      <c r="D185" s="2"/>
      <c r="E185" s="2"/>
      <c r="F185" s="2"/>
      <c r="G185" s="2"/>
      <c r="H185" s="149"/>
      <c r="K185" s="84"/>
      <c r="L185" s="138"/>
      <c r="M185" s="19"/>
      <c r="N185" s="2"/>
    </row>
    <row r="186" spans="2:14" x14ac:dyDescent="0.25">
      <c r="B186" s="2"/>
      <c r="C186" s="2"/>
      <c r="D186" s="2"/>
      <c r="E186" s="2"/>
      <c r="F186" s="2"/>
      <c r="G186" s="2"/>
      <c r="H186" s="149"/>
      <c r="K186" s="84"/>
      <c r="L186" s="138"/>
      <c r="M186" s="19"/>
      <c r="N186" s="2"/>
    </row>
    <row r="187" spans="2:14" x14ac:dyDescent="0.25">
      <c r="B187" s="2"/>
      <c r="C187" s="2"/>
      <c r="D187" s="2"/>
      <c r="E187" s="2"/>
      <c r="F187" s="2"/>
      <c r="G187" s="2"/>
      <c r="H187" s="149"/>
      <c r="K187" s="84"/>
      <c r="L187" s="138"/>
      <c r="M187" s="19"/>
      <c r="N187" s="2"/>
    </row>
    <row r="188" spans="2:14" x14ac:dyDescent="0.25">
      <c r="B188" s="2"/>
      <c r="C188" s="2"/>
      <c r="D188" s="2"/>
      <c r="E188" s="2"/>
      <c r="F188" s="2"/>
      <c r="G188" s="2"/>
      <c r="H188" s="149"/>
      <c r="K188" s="84"/>
      <c r="L188" s="138"/>
      <c r="M188" s="19"/>
      <c r="N188" s="2"/>
    </row>
    <row r="189" spans="2:14" x14ac:dyDescent="0.25">
      <c r="B189" s="2"/>
      <c r="C189" s="2"/>
      <c r="D189" s="2"/>
      <c r="E189" s="2"/>
      <c r="F189" s="2"/>
      <c r="G189" s="2"/>
      <c r="H189" s="149"/>
      <c r="K189" s="84"/>
      <c r="L189" s="138"/>
      <c r="M189" s="19"/>
      <c r="N189" s="2"/>
    </row>
    <row r="190" spans="2:14" x14ac:dyDescent="0.25">
      <c r="B190" s="2"/>
      <c r="C190" s="2"/>
      <c r="D190" s="2"/>
      <c r="E190" s="2"/>
      <c r="F190" s="2"/>
      <c r="G190" s="2"/>
      <c r="H190" s="149"/>
      <c r="K190" s="84"/>
      <c r="L190" s="138"/>
      <c r="M190" s="19"/>
      <c r="N190" s="2"/>
    </row>
    <row r="191" spans="2:14" x14ac:dyDescent="0.25">
      <c r="B191" s="2"/>
      <c r="C191" s="2"/>
      <c r="D191" s="2"/>
      <c r="E191" s="2"/>
      <c r="F191" s="2"/>
      <c r="G191" s="2"/>
      <c r="H191" s="149"/>
      <c r="K191" s="84"/>
      <c r="L191" s="138"/>
      <c r="M191" s="19"/>
      <c r="N191" s="2"/>
    </row>
    <row r="192" spans="2:14" x14ac:dyDescent="0.25">
      <c r="B192" s="2"/>
      <c r="C192" s="2"/>
      <c r="D192" s="2"/>
      <c r="E192" s="2"/>
      <c r="F192" s="2"/>
      <c r="G192" s="2"/>
      <c r="H192" s="149"/>
      <c r="K192" s="84"/>
      <c r="L192" s="138"/>
      <c r="M192" s="19"/>
      <c r="N192" s="2"/>
    </row>
    <row r="193" spans="2:14" x14ac:dyDescent="0.25">
      <c r="B193" s="2"/>
      <c r="C193" s="2"/>
      <c r="D193" s="2"/>
      <c r="E193" s="2"/>
      <c r="F193" s="2"/>
      <c r="G193" s="2"/>
      <c r="H193" s="149"/>
      <c r="K193" s="84"/>
      <c r="L193" s="138"/>
      <c r="M193" s="19"/>
      <c r="N193" s="2"/>
    </row>
    <row r="194" spans="2:14" x14ac:dyDescent="0.25">
      <c r="B194" s="2"/>
      <c r="C194" s="2"/>
      <c r="D194" s="2"/>
      <c r="E194" s="2"/>
      <c r="F194" s="2"/>
      <c r="G194" s="2"/>
      <c r="H194" s="149"/>
      <c r="K194" s="84"/>
      <c r="L194" s="138"/>
      <c r="M194" s="19"/>
      <c r="N194" s="2"/>
    </row>
    <row r="195" spans="2:14" x14ac:dyDescent="0.25">
      <c r="B195" s="2"/>
      <c r="C195" s="2"/>
      <c r="D195" s="2"/>
      <c r="E195" s="2"/>
      <c r="F195" s="2"/>
      <c r="G195" s="2"/>
      <c r="H195" s="149"/>
      <c r="K195" s="84"/>
      <c r="L195" s="138"/>
      <c r="M195" s="19"/>
      <c r="N195" s="2"/>
    </row>
    <row r="196" spans="2:14" x14ac:dyDescent="0.25">
      <c r="B196" s="2"/>
      <c r="C196" s="2"/>
      <c r="D196" s="2"/>
      <c r="E196" s="2"/>
      <c r="F196" s="2"/>
      <c r="G196" s="2"/>
      <c r="H196" s="149"/>
      <c r="K196" s="84"/>
      <c r="L196" s="138"/>
      <c r="M196" s="19"/>
      <c r="N196" s="2"/>
    </row>
    <row r="197" spans="2:14" x14ac:dyDescent="0.25">
      <c r="B197" s="2"/>
      <c r="C197" s="2"/>
      <c r="D197" s="2"/>
      <c r="E197" s="2"/>
      <c r="F197" s="2"/>
      <c r="G197" s="2"/>
      <c r="H197" s="149"/>
      <c r="K197" s="84"/>
      <c r="L197" s="138"/>
      <c r="M197" s="19"/>
      <c r="N197" s="2"/>
    </row>
    <row r="198" spans="2:14" x14ac:dyDescent="0.25">
      <c r="B198" s="2"/>
      <c r="C198" s="2"/>
      <c r="D198" s="2"/>
      <c r="E198" s="2"/>
      <c r="F198" s="2"/>
      <c r="G198" s="2"/>
      <c r="H198" s="149"/>
      <c r="K198" s="84"/>
      <c r="L198" s="138"/>
      <c r="M198" s="19"/>
      <c r="N198" s="2"/>
    </row>
    <row r="199" spans="2:14" x14ac:dyDescent="0.25">
      <c r="B199" s="2"/>
      <c r="C199" s="2"/>
      <c r="D199" s="2"/>
      <c r="E199" s="2"/>
      <c r="F199" s="2"/>
      <c r="G199" s="2"/>
      <c r="H199" s="149"/>
      <c r="K199" s="84"/>
      <c r="L199" s="138"/>
      <c r="M199" s="19"/>
      <c r="N199" s="2"/>
    </row>
    <row r="200" spans="2:14" x14ac:dyDescent="0.25">
      <c r="B200" s="2"/>
      <c r="C200" s="2"/>
      <c r="D200" s="2"/>
      <c r="E200" s="2"/>
      <c r="F200" s="2"/>
      <c r="G200" s="2"/>
      <c r="H200" s="149"/>
      <c r="K200" s="84"/>
      <c r="L200" s="138"/>
      <c r="M200" s="19"/>
      <c r="N200" s="2"/>
    </row>
    <row r="201" spans="2:14" x14ac:dyDescent="0.25">
      <c r="B201" s="2"/>
      <c r="C201" s="2"/>
      <c r="D201" s="2"/>
      <c r="E201" s="2"/>
      <c r="F201" s="2"/>
      <c r="G201" s="2"/>
      <c r="H201" s="149"/>
      <c r="K201" s="84"/>
      <c r="L201" s="138"/>
      <c r="M201" s="19"/>
      <c r="N201" s="2"/>
    </row>
    <row r="202" spans="2:14" x14ac:dyDescent="0.25">
      <c r="B202" s="2"/>
      <c r="C202" s="2"/>
      <c r="D202" s="2"/>
      <c r="E202" s="2"/>
      <c r="F202" s="2"/>
      <c r="G202" s="2"/>
      <c r="H202" s="149"/>
      <c r="K202" s="84"/>
      <c r="L202" s="138"/>
      <c r="M202" s="19"/>
      <c r="N202" s="2"/>
    </row>
    <row r="203" spans="2:14" x14ac:dyDescent="0.25">
      <c r="B203" s="2"/>
      <c r="C203" s="2"/>
      <c r="D203" s="2"/>
      <c r="E203" s="2"/>
      <c r="F203" s="2"/>
      <c r="G203" s="2"/>
      <c r="H203" s="149"/>
      <c r="K203" s="84"/>
      <c r="L203" s="138"/>
      <c r="M203" s="19"/>
      <c r="N203" s="2"/>
    </row>
    <row r="204" spans="2:14" x14ac:dyDescent="0.25">
      <c r="B204" s="2"/>
      <c r="C204" s="2"/>
      <c r="D204" s="2"/>
      <c r="E204" s="2"/>
      <c r="F204" s="2"/>
      <c r="G204" s="2"/>
      <c r="H204" s="149"/>
      <c r="K204" s="84"/>
      <c r="L204" s="138"/>
      <c r="M204" s="19"/>
      <c r="N204" s="2"/>
    </row>
    <row r="205" spans="2:14" x14ac:dyDescent="0.25">
      <c r="B205" s="2"/>
      <c r="C205" s="2"/>
      <c r="D205" s="2"/>
      <c r="E205" s="2"/>
      <c r="F205" s="2"/>
      <c r="G205" s="2"/>
      <c r="H205" s="149"/>
      <c r="K205" s="84"/>
      <c r="L205" s="138"/>
      <c r="M205" s="19"/>
      <c r="N205" s="2"/>
    </row>
    <row r="206" spans="2:14" x14ac:dyDescent="0.25">
      <c r="B206" s="2"/>
      <c r="C206" s="2"/>
      <c r="D206" s="2"/>
      <c r="E206" s="2"/>
      <c r="F206" s="2"/>
      <c r="G206" s="2"/>
      <c r="H206" s="149"/>
      <c r="K206" s="84"/>
      <c r="L206" s="138"/>
      <c r="M206" s="19"/>
      <c r="N206" s="2"/>
    </row>
    <row r="207" spans="2:14" x14ac:dyDescent="0.25">
      <c r="B207" s="2"/>
      <c r="C207" s="2"/>
      <c r="D207" s="2"/>
      <c r="E207" s="2"/>
      <c r="F207" s="2"/>
      <c r="G207" s="2"/>
      <c r="H207" s="149"/>
      <c r="K207" s="84"/>
      <c r="L207" s="138"/>
      <c r="M207" s="19"/>
      <c r="N207" s="2"/>
    </row>
    <row r="208" spans="2:14" x14ac:dyDescent="0.25">
      <c r="B208" s="2"/>
      <c r="C208" s="2"/>
      <c r="D208" s="2"/>
      <c r="E208" s="2"/>
      <c r="F208" s="2"/>
      <c r="G208" s="2"/>
      <c r="H208" s="149"/>
      <c r="K208" s="84"/>
      <c r="L208" s="138"/>
      <c r="M208" s="19"/>
      <c r="N208" s="2"/>
    </row>
    <row r="209" spans="2:14" x14ac:dyDescent="0.25">
      <c r="B209" s="2"/>
      <c r="C209" s="2"/>
      <c r="D209" s="2"/>
      <c r="E209" s="2"/>
      <c r="F209" s="2"/>
      <c r="G209" s="2"/>
      <c r="H209" s="149"/>
      <c r="K209" s="84"/>
      <c r="L209" s="138"/>
      <c r="M209" s="19"/>
      <c r="N209" s="2"/>
    </row>
    <row r="210" spans="2:14" x14ac:dyDescent="0.25">
      <c r="B210" s="2"/>
      <c r="C210" s="2"/>
      <c r="D210" s="2"/>
      <c r="E210" s="2"/>
      <c r="F210" s="2"/>
      <c r="G210" s="2"/>
      <c r="H210" s="149"/>
      <c r="K210" s="84"/>
      <c r="L210" s="138"/>
      <c r="M210" s="19"/>
      <c r="N210" s="2"/>
    </row>
    <row r="211" spans="2:14" x14ac:dyDescent="0.25">
      <c r="B211" s="2"/>
      <c r="C211" s="2"/>
      <c r="D211" s="2"/>
      <c r="E211" s="2"/>
      <c r="F211" s="2"/>
      <c r="G211" s="2"/>
      <c r="H211" s="149"/>
      <c r="K211" s="84"/>
      <c r="L211" s="138"/>
      <c r="M211" s="19"/>
      <c r="N211" s="2"/>
    </row>
    <row r="212" spans="2:14" x14ac:dyDescent="0.25">
      <c r="B212" s="2"/>
      <c r="C212" s="2"/>
      <c r="D212" s="2"/>
      <c r="E212" s="2"/>
      <c r="F212" s="2"/>
      <c r="G212" s="2"/>
      <c r="H212" s="149"/>
      <c r="K212" s="84"/>
      <c r="L212" s="138"/>
      <c r="M212" s="19"/>
      <c r="N212" s="2"/>
    </row>
    <row r="213" spans="2:14" x14ac:dyDescent="0.25">
      <c r="B213" s="2"/>
      <c r="C213" s="2"/>
      <c r="D213" s="2"/>
      <c r="E213" s="2"/>
      <c r="F213" s="2"/>
      <c r="G213" s="2"/>
      <c r="H213" s="149"/>
      <c r="K213" s="84"/>
      <c r="L213" s="138"/>
      <c r="M213" s="19"/>
      <c r="N213" s="2"/>
    </row>
    <row r="214" spans="2:14" x14ac:dyDescent="0.25">
      <c r="B214" s="2"/>
      <c r="C214" s="2"/>
      <c r="D214" s="2"/>
      <c r="E214" s="2"/>
      <c r="F214" s="2"/>
      <c r="G214" s="2"/>
      <c r="H214" s="149"/>
      <c r="K214" s="84"/>
      <c r="L214" s="138"/>
      <c r="M214" s="19"/>
      <c r="N214" s="2"/>
    </row>
    <row r="215" spans="2:14" x14ac:dyDescent="0.25">
      <c r="B215" s="2"/>
      <c r="C215" s="2"/>
      <c r="D215" s="2"/>
      <c r="E215" s="2"/>
      <c r="F215" s="2"/>
      <c r="G215" s="2"/>
      <c r="H215" s="149"/>
      <c r="K215" s="84"/>
      <c r="L215" s="138"/>
      <c r="M215" s="19"/>
      <c r="N215" s="2"/>
    </row>
    <row r="216" spans="2:14" x14ac:dyDescent="0.25">
      <c r="B216" s="2"/>
      <c r="C216" s="2"/>
      <c r="D216" s="2"/>
      <c r="E216" s="2"/>
      <c r="F216" s="2"/>
      <c r="G216" s="2"/>
      <c r="H216" s="149"/>
      <c r="K216" s="84"/>
      <c r="L216" s="138"/>
      <c r="M216" s="19"/>
      <c r="N216" s="2"/>
    </row>
    <row r="217" spans="2:14" x14ac:dyDescent="0.25">
      <c r="B217" s="2"/>
      <c r="C217" s="2"/>
      <c r="D217" s="2"/>
      <c r="E217" s="2"/>
      <c r="F217" s="2"/>
      <c r="G217" s="2"/>
      <c r="H217" s="149"/>
      <c r="K217" s="84"/>
      <c r="L217" s="138"/>
      <c r="M217" s="19"/>
      <c r="N217" s="2"/>
    </row>
    <row r="218" spans="2:14" x14ac:dyDescent="0.25">
      <c r="B218" s="2"/>
      <c r="C218" s="2"/>
      <c r="D218" s="2"/>
      <c r="E218" s="2"/>
      <c r="F218" s="2"/>
      <c r="G218" s="2"/>
      <c r="H218" s="149"/>
      <c r="K218" s="84"/>
      <c r="L218" s="138"/>
      <c r="M218" s="19"/>
      <c r="N218" s="2"/>
    </row>
    <row r="219" spans="2:14" x14ac:dyDescent="0.25">
      <c r="B219" s="2"/>
      <c r="C219" s="2"/>
      <c r="D219" s="2"/>
      <c r="E219" s="2"/>
      <c r="F219" s="2"/>
      <c r="G219" s="2"/>
      <c r="H219" s="149"/>
      <c r="K219" s="84"/>
      <c r="L219" s="138"/>
      <c r="M219" s="19"/>
      <c r="N219" s="2"/>
    </row>
    <row r="220" spans="2:14" x14ac:dyDescent="0.25">
      <c r="B220" s="2"/>
      <c r="C220" s="2"/>
      <c r="D220" s="2"/>
      <c r="E220" s="2"/>
      <c r="F220" s="2"/>
      <c r="G220" s="2"/>
      <c r="H220" s="149"/>
      <c r="K220" s="84"/>
      <c r="L220" s="138"/>
      <c r="M220" s="19"/>
      <c r="N220" s="2"/>
    </row>
    <row r="221" spans="2:14" x14ac:dyDescent="0.25">
      <c r="B221" s="2"/>
      <c r="C221" s="2"/>
      <c r="D221" s="2"/>
      <c r="E221" s="2"/>
      <c r="F221" s="2"/>
      <c r="G221" s="2"/>
      <c r="H221" s="149"/>
      <c r="K221" s="84"/>
      <c r="L221" s="138"/>
      <c r="M221" s="19"/>
      <c r="N221" s="2"/>
    </row>
    <row r="222" spans="2:14" x14ac:dyDescent="0.25">
      <c r="B222" s="2"/>
      <c r="C222" s="2"/>
      <c r="D222" s="2"/>
      <c r="E222" s="2"/>
      <c r="F222" s="2"/>
      <c r="G222" s="2"/>
      <c r="H222" s="149"/>
      <c r="K222" s="84"/>
      <c r="L222" s="138"/>
      <c r="M222" s="19"/>
      <c r="N222" s="2"/>
    </row>
    <row r="223" spans="2:14" x14ac:dyDescent="0.25">
      <c r="B223" s="2"/>
      <c r="C223" s="2"/>
      <c r="D223" s="2"/>
      <c r="E223" s="2"/>
      <c r="F223" s="2"/>
      <c r="G223" s="2"/>
      <c r="H223" s="149"/>
      <c r="K223" s="84"/>
      <c r="L223" s="138"/>
      <c r="M223" s="19"/>
      <c r="N223" s="2"/>
    </row>
    <row r="224" spans="2:14" x14ac:dyDescent="0.25">
      <c r="B224" s="2"/>
      <c r="C224" s="2"/>
      <c r="D224" s="2"/>
      <c r="E224" s="2"/>
      <c r="F224" s="2"/>
      <c r="G224" s="2"/>
      <c r="H224" s="149"/>
      <c r="K224" s="84"/>
      <c r="L224" s="138"/>
      <c r="M224" s="19"/>
      <c r="N224" s="2"/>
    </row>
    <row r="225" spans="2:14" x14ac:dyDescent="0.25">
      <c r="B225" s="2"/>
      <c r="C225" s="2"/>
      <c r="D225" s="2"/>
      <c r="E225" s="2"/>
      <c r="F225" s="2"/>
      <c r="G225" s="2"/>
      <c r="H225" s="149"/>
      <c r="K225" s="84"/>
      <c r="L225" s="138"/>
      <c r="M225" s="19"/>
      <c r="N225" s="2"/>
    </row>
    <row r="226" spans="2:14" x14ac:dyDescent="0.25">
      <c r="B226" s="2"/>
      <c r="C226" s="2"/>
      <c r="D226" s="2"/>
      <c r="E226" s="2"/>
      <c r="F226" s="2"/>
      <c r="G226" s="2"/>
      <c r="H226" s="149"/>
      <c r="K226" s="84"/>
      <c r="L226" s="138"/>
      <c r="M226" s="19"/>
      <c r="N226" s="2"/>
    </row>
    <row r="227" spans="2:14" x14ac:dyDescent="0.25">
      <c r="B227" s="2"/>
      <c r="C227" s="2"/>
      <c r="D227" s="2"/>
      <c r="E227" s="2"/>
      <c r="F227" s="2"/>
      <c r="G227" s="2"/>
      <c r="H227" s="149"/>
      <c r="K227" s="84"/>
      <c r="L227" s="138"/>
      <c r="M227" s="19"/>
      <c r="N227" s="2"/>
    </row>
    <row r="228" spans="2:14" x14ac:dyDescent="0.25">
      <c r="B228" s="2"/>
      <c r="C228" s="2"/>
      <c r="D228" s="2"/>
      <c r="E228" s="2"/>
      <c r="F228" s="2"/>
      <c r="G228" s="2"/>
      <c r="H228" s="149"/>
      <c r="K228" s="84"/>
      <c r="L228" s="138"/>
      <c r="M228" s="19"/>
      <c r="N228" s="2"/>
    </row>
    <row r="229" spans="2:14" x14ac:dyDescent="0.25">
      <c r="B229" s="2"/>
      <c r="C229" s="2"/>
      <c r="D229" s="2"/>
      <c r="E229" s="2"/>
      <c r="F229" s="2"/>
      <c r="G229" s="2"/>
      <c r="H229" s="149"/>
      <c r="K229" s="84"/>
      <c r="L229" s="138"/>
      <c r="M229" s="19"/>
      <c r="N229" s="2"/>
    </row>
    <row r="230" spans="2:14" x14ac:dyDescent="0.25">
      <c r="B230" s="2"/>
      <c r="C230" s="2"/>
      <c r="D230" s="2"/>
      <c r="E230" s="2"/>
      <c r="F230" s="2"/>
      <c r="G230" s="2"/>
      <c r="H230" s="149"/>
      <c r="K230" s="84"/>
      <c r="L230" s="138"/>
      <c r="M230" s="19"/>
      <c r="N230" s="2"/>
    </row>
    <row r="231" spans="2:14" x14ac:dyDescent="0.25">
      <c r="B231" s="2"/>
      <c r="C231" s="2"/>
      <c r="D231" s="2"/>
      <c r="E231" s="2"/>
      <c r="F231" s="2"/>
      <c r="G231" s="2"/>
      <c r="H231" s="149"/>
      <c r="K231" s="84"/>
      <c r="L231" s="138"/>
      <c r="M231" s="19"/>
      <c r="N231" s="2"/>
    </row>
    <row r="232" spans="2:14" x14ac:dyDescent="0.25">
      <c r="B232" s="2"/>
      <c r="C232" s="2"/>
      <c r="D232" s="2"/>
      <c r="E232" s="2"/>
      <c r="F232" s="2"/>
      <c r="G232" s="2"/>
      <c r="H232" s="149"/>
      <c r="K232" s="84"/>
      <c r="L232" s="138"/>
      <c r="M232" s="19"/>
      <c r="N232" s="2"/>
    </row>
    <row r="233" spans="2:14" x14ac:dyDescent="0.25">
      <c r="B233" s="2"/>
      <c r="C233" s="2"/>
      <c r="D233" s="2"/>
      <c r="E233" s="2"/>
      <c r="F233" s="2"/>
      <c r="G233" s="2"/>
      <c r="H233" s="149"/>
      <c r="K233" s="84"/>
      <c r="L233" s="138"/>
      <c r="M233" s="19"/>
      <c r="N233" s="2"/>
    </row>
    <row r="234" spans="2:14" x14ac:dyDescent="0.25">
      <c r="B234" s="2"/>
      <c r="C234" s="2"/>
      <c r="D234" s="2"/>
      <c r="E234" s="2"/>
      <c r="F234" s="2"/>
      <c r="G234" s="2"/>
      <c r="H234" s="149"/>
      <c r="K234" s="84"/>
      <c r="L234" s="138"/>
      <c r="M234" s="19"/>
      <c r="N234" s="2"/>
    </row>
    <row r="235" spans="2:14" x14ac:dyDescent="0.25">
      <c r="B235" s="2"/>
      <c r="C235" s="2"/>
      <c r="D235" s="2"/>
      <c r="E235" s="2"/>
      <c r="F235" s="2"/>
      <c r="G235" s="2"/>
      <c r="H235" s="149"/>
      <c r="K235" s="84"/>
      <c r="L235" s="138"/>
      <c r="M235" s="19"/>
      <c r="N235" s="2"/>
    </row>
    <row r="236" spans="2:14" x14ac:dyDescent="0.25">
      <c r="B236" s="2"/>
      <c r="C236" s="2"/>
      <c r="D236" s="2"/>
      <c r="E236" s="2"/>
      <c r="F236" s="2"/>
      <c r="G236" s="2"/>
      <c r="H236" s="149"/>
      <c r="K236" s="84"/>
      <c r="L236" s="138"/>
      <c r="M236" s="19"/>
      <c r="N236" s="2"/>
    </row>
    <row r="237" spans="2:14" x14ac:dyDescent="0.25">
      <c r="B237" s="2"/>
      <c r="C237" s="2"/>
      <c r="D237" s="2"/>
      <c r="E237" s="2"/>
      <c r="F237" s="2"/>
      <c r="G237" s="2"/>
      <c r="H237" s="149"/>
      <c r="K237" s="84"/>
      <c r="L237" s="138"/>
      <c r="M237" s="19"/>
      <c r="N237" s="2"/>
    </row>
    <row r="238" spans="2:14" x14ac:dyDescent="0.25">
      <c r="B238" s="2"/>
      <c r="C238" s="2"/>
      <c r="D238" s="2"/>
      <c r="E238" s="2"/>
      <c r="F238" s="2"/>
      <c r="G238" s="2"/>
      <c r="H238" s="149"/>
      <c r="K238" s="84"/>
      <c r="L238" s="138"/>
      <c r="M238" s="19"/>
      <c r="N238" s="2"/>
    </row>
    <row r="239" spans="2:14" x14ac:dyDescent="0.25">
      <c r="B239" s="2"/>
      <c r="C239" s="2"/>
      <c r="D239" s="2"/>
      <c r="E239" s="2"/>
      <c r="F239" s="2"/>
      <c r="G239" s="2"/>
      <c r="H239" s="149"/>
      <c r="K239" s="84"/>
      <c r="L239" s="138"/>
      <c r="M239" s="19"/>
      <c r="N239" s="2"/>
    </row>
    <row r="240" spans="2:14" x14ac:dyDescent="0.25">
      <c r="B240" s="2"/>
      <c r="C240" s="2"/>
      <c r="D240" s="2"/>
      <c r="E240" s="2"/>
      <c r="F240" s="2"/>
      <c r="G240" s="2"/>
      <c r="H240" s="149"/>
      <c r="K240" s="84"/>
      <c r="L240" s="138"/>
      <c r="M240" s="19"/>
      <c r="N240" s="2"/>
    </row>
    <row r="241" spans="2:14" x14ac:dyDescent="0.25">
      <c r="B241" s="2"/>
      <c r="C241" s="2"/>
      <c r="D241" s="2"/>
      <c r="E241" s="2"/>
      <c r="F241" s="2"/>
      <c r="G241" s="2"/>
      <c r="H241" s="149"/>
      <c r="K241" s="84"/>
      <c r="L241" s="138"/>
      <c r="M241" s="19"/>
      <c r="N241" s="2"/>
    </row>
    <row r="242" spans="2:14" x14ac:dyDescent="0.25">
      <c r="B242" s="2"/>
      <c r="C242" s="2"/>
      <c r="D242" s="2"/>
      <c r="E242" s="2"/>
      <c r="F242" s="2"/>
      <c r="G242" s="2"/>
      <c r="H242" s="149"/>
      <c r="K242" s="84"/>
      <c r="L242" s="138"/>
      <c r="M242" s="19"/>
      <c r="N242" s="2"/>
    </row>
    <row r="243" spans="2:14" x14ac:dyDescent="0.25">
      <c r="B243" s="2"/>
      <c r="C243" s="2"/>
      <c r="D243" s="2"/>
      <c r="E243" s="2"/>
      <c r="F243" s="2"/>
      <c r="G243" s="2"/>
      <c r="H243" s="149"/>
      <c r="K243" s="84"/>
      <c r="L243" s="138"/>
      <c r="M243" s="19"/>
      <c r="N243" s="2"/>
    </row>
    <row r="244" spans="2:14" x14ac:dyDescent="0.25">
      <c r="B244" s="2"/>
      <c r="C244" s="2"/>
      <c r="D244" s="2"/>
      <c r="E244" s="2"/>
      <c r="F244" s="2"/>
      <c r="G244" s="2"/>
      <c r="H244" s="149"/>
      <c r="K244" s="84"/>
      <c r="L244" s="138"/>
      <c r="M244" s="19"/>
      <c r="N244" s="2"/>
    </row>
    <row r="245" spans="2:14" x14ac:dyDescent="0.25">
      <c r="B245" s="2"/>
      <c r="C245" s="2"/>
      <c r="D245" s="2"/>
      <c r="E245" s="2"/>
      <c r="F245" s="2"/>
      <c r="G245" s="2"/>
      <c r="H245" s="149"/>
      <c r="K245" s="84"/>
      <c r="L245" s="138"/>
      <c r="M245" s="19"/>
      <c r="N245" s="2"/>
    </row>
    <row r="246" spans="2:14" x14ac:dyDescent="0.25">
      <c r="B246" s="2"/>
      <c r="C246" s="2"/>
      <c r="D246" s="2"/>
      <c r="E246" s="2"/>
      <c r="F246" s="2"/>
      <c r="G246" s="2"/>
      <c r="H246" s="149"/>
      <c r="K246" s="84"/>
      <c r="L246" s="138"/>
      <c r="M246" s="19"/>
      <c r="N246" s="2"/>
    </row>
    <row r="247" spans="2:14" x14ac:dyDescent="0.25">
      <c r="B247" s="2"/>
      <c r="C247" s="2"/>
      <c r="D247" s="2"/>
      <c r="E247" s="2"/>
      <c r="F247" s="2"/>
      <c r="G247" s="2"/>
      <c r="H247" s="149"/>
      <c r="K247" s="84"/>
      <c r="L247" s="138"/>
      <c r="M247" s="19"/>
      <c r="N247" s="2"/>
    </row>
    <row r="248" spans="2:14" x14ac:dyDescent="0.25">
      <c r="B248" s="2"/>
      <c r="C248" s="2"/>
      <c r="D248" s="2"/>
      <c r="E248" s="2"/>
      <c r="F248" s="2"/>
      <c r="G248" s="2"/>
      <c r="H248" s="149"/>
      <c r="K248" s="84"/>
      <c r="L248" s="138"/>
      <c r="M248" s="19"/>
      <c r="N248" s="2"/>
    </row>
    <row r="249" spans="2:14" x14ac:dyDescent="0.25">
      <c r="B249" s="2"/>
      <c r="C249" s="2"/>
      <c r="D249" s="2"/>
      <c r="E249" s="2"/>
      <c r="F249" s="2"/>
      <c r="G249" s="2"/>
      <c r="H249" s="149"/>
      <c r="K249" s="84"/>
      <c r="L249" s="138"/>
      <c r="M249" s="19"/>
      <c r="N249" s="2"/>
    </row>
    <row r="250" spans="2:14" x14ac:dyDescent="0.25">
      <c r="B250" s="2"/>
      <c r="C250" s="2"/>
      <c r="D250" s="2"/>
      <c r="E250" s="2"/>
      <c r="F250" s="2"/>
      <c r="G250" s="2"/>
      <c r="H250" s="149"/>
      <c r="K250" s="84"/>
      <c r="L250" s="138"/>
      <c r="M250" s="19"/>
      <c r="N250" s="2"/>
    </row>
    <row r="251" spans="2:14" x14ac:dyDescent="0.25">
      <c r="B251" s="2"/>
      <c r="C251" s="2"/>
      <c r="D251" s="2"/>
      <c r="E251" s="2"/>
      <c r="F251" s="2"/>
      <c r="G251" s="2"/>
      <c r="H251" s="149"/>
      <c r="K251" s="84"/>
      <c r="L251" s="138"/>
      <c r="M251" s="19"/>
      <c r="N251" s="2"/>
    </row>
    <row r="252" spans="2:14" x14ac:dyDescent="0.25">
      <c r="B252" s="2"/>
      <c r="C252" s="2"/>
      <c r="D252" s="2"/>
      <c r="E252" s="2"/>
      <c r="F252" s="2"/>
      <c r="G252" s="2"/>
      <c r="H252" s="149"/>
      <c r="K252" s="84"/>
      <c r="L252" s="138"/>
      <c r="M252" s="19"/>
      <c r="N252" s="2"/>
    </row>
    <row r="253" spans="2:14" x14ac:dyDescent="0.25">
      <c r="B253" s="2"/>
      <c r="C253" s="2"/>
      <c r="D253" s="2"/>
      <c r="E253" s="2"/>
      <c r="F253" s="2"/>
      <c r="G253" s="2"/>
      <c r="H253" s="149"/>
      <c r="K253" s="84"/>
      <c r="L253" s="138"/>
      <c r="M253" s="19"/>
      <c r="N253" s="2"/>
    </row>
    <row r="254" spans="2:14" x14ac:dyDescent="0.25">
      <c r="B254" s="2"/>
      <c r="C254" s="2"/>
      <c r="D254" s="2"/>
      <c r="E254" s="2"/>
      <c r="F254" s="2"/>
      <c r="G254" s="2"/>
      <c r="H254" s="149"/>
      <c r="K254" s="84"/>
      <c r="L254" s="138"/>
      <c r="M254" s="19"/>
      <c r="N254" s="2"/>
    </row>
    <row r="255" spans="2:14" x14ac:dyDescent="0.25">
      <c r="B255" s="2"/>
      <c r="C255" s="2"/>
      <c r="D255" s="2"/>
      <c r="E255" s="2"/>
      <c r="F255" s="2"/>
      <c r="G255" s="2"/>
      <c r="H255" s="149"/>
      <c r="K255" s="84"/>
      <c r="L255" s="138"/>
      <c r="M255" s="19"/>
      <c r="N255" s="2"/>
    </row>
    <row r="256" spans="2:14" x14ac:dyDescent="0.25">
      <c r="B256" s="2"/>
      <c r="C256" s="2"/>
      <c r="D256" s="2"/>
      <c r="E256" s="2"/>
      <c r="F256" s="2"/>
      <c r="G256" s="2"/>
      <c r="H256" s="149"/>
      <c r="K256" s="84"/>
      <c r="L256" s="138"/>
      <c r="M256" s="19"/>
      <c r="N256" s="2"/>
    </row>
    <row r="257" spans="2:14" x14ac:dyDescent="0.25">
      <c r="B257" s="2"/>
      <c r="C257" s="2"/>
      <c r="D257" s="2"/>
      <c r="E257" s="2"/>
      <c r="F257" s="2"/>
      <c r="G257" s="2"/>
      <c r="H257" s="149"/>
      <c r="K257" s="84"/>
      <c r="L257" s="138"/>
      <c r="M257" s="19"/>
      <c r="N257" s="2"/>
    </row>
    <row r="258" spans="2:14" x14ac:dyDescent="0.25">
      <c r="B258" s="2"/>
      <c r="C258" s="2"/>
      <c r="D258" s="2"/>
      <c r="E258" s="2"/>
      <c r="F258" s="2"/>
      <c r="G258" s="2"/>
      <c r="H258" s="149"/>
      <c r="K258" s="84"/>
      <c r="L258" s="138"/>
      <c r="M258" s="19"/>
      <c r="N258" s="2"/>
    </row>
    <row r="259" spans="2:14" x14ac:dyDescent="0.25">
      <c r="B259" s="2"/>
      <c r="C259" s="2"/>
      <c r="D259" s="2"/>
      <c r="E259" s="2"/>
      <c r="F259" s="2"/>
      <c r="G259" s="2"/>
      <c r="H259" s="149"/>
      <c r="K259" s="84"/>
      <c r="L259" s="138"/>
      <c r="M259" s="19"/>
      <c r="N259" s="2"/>
    </row>
    <row r="260" spans="2:14" x14ac:dyDescent="0.25">
      <c r="B260" s="2"/>
      <c r="C260" s="2"/>
      <c r="D260" s="2"/>
      <c r="E260" s="2"/>
      <c r="F260" s="2"/>
      <c r="G260" s="2"/>
      <c r="H260" s="149"/>
      <c r="K260" s="84"/>
      <c r="L260" s="138"/>
      <c r="M260" s="19"/>
      <c r="N260" s="2"/>
    </row>
    <row r="261" spans="2:14" x14ac:dyDescent="0.25">
      <c r="B261" s="2"/>
      <c r="C261" s="2"/>
      <c r="D261" s="2"/>
      <c r="E261" s="2"/>
      <c r="F261" s="2"/>
      <c r="G261" s="2"/>
      <c r="H261" s="149"/>
      <c r="K261" s="84"/>
      <c r="L261" s="138"/>
      <c r="M261" s="19"/>
      <c r="N261" s="2"/>
    </row>
    <row r="262" spans="2:14" x14ac:dyDescent="0.25">
      <c r="B262" s="2"/>
      <c r="C262" s="2"/>
      <c r="D262" s="2"/>
      <c r="E262" s="2"/>
      <c r="F262" s="2"/>
      <c r="G262" s="2"/>
      <c r="H262" s="149"/>
      <c r="K262" s="84"/>
      <c r="L262" s="138"/>
      <c r="M262" s="19"/>
      <c r="N262" s="2"/>
    </row>
    <row r="263" spans="2:14" x14ac:dyDescent="0.25">
      <c r="B263" s="2"/>
      <c r="C263" s="2"/>
      <c r="D263" s="2"/>
      <c r="E263" s="2"/>
      <c r="F263" s="2"/>
      <c r="G263" s="2"/>
      <c r="H263" s="149"/>
      <c r="K263" s="84"/>
      <c r="L263" s="138"/>
      <c r="M263" s="19"/>
      <c r="N263" s="2"/>
    </row>
    <row r="264" spans="2:14" x14ac:dyDescent="0.25">
      <c r="B264" s="2"/>
      <c r="C264" s="2"/>
      <c r="D264" s="2"/>
      <c r="E264" s="2"/>
      <c r="F264" s="2"/>
      <c r="G264" s="2"/>
      <c r="H264" s="149"/>
      <c r="K264" s="84"/>
      <c r="L264" s="138"/>
      <c r="M264" s="19"/>
      <c r="N264" s="2"/>
    </row>
    <row r="265" spans="2:14" x14ac:dyDescent="0.25">
      <c r="B265" s="2"/>
      <c r="C265" s="2"/>
      <c r="D265" s="2"/>
      <c r="E265" s="2"/>
      <c r="F265" s="2"/>
      <c r="G265" s="2"/>
      <c r="H265" s="149"/>
      <c r="K265" s="84"/>
      <c r="L265" s="138"/>
      <c r="M265" s="19"/>
      <c r="N265" s="2"/>
    </row>
    <row r="266" spans="2:14" x14ac:dyDescent="0.25">
      <c r="B266" s="2"/>
      <c r="C266" s="2"/>
      <c r="D266" s="2"/>
      <c r="E266" s="2"/>
      <c r="F266" s="2"/>
      <c r="G266" s="2"/>
      <c r="H266" s="149"/>
      <c r="K266" s="84"/>
      <c r="L266" s="138"/>
      <c r="M266" s="19"/>
      <c r="N266" s="2"/>
    </row>
    <row r="267" spans="2:14" x14ac:dyDescent="0.25">
      <c r="B267" s="2"/>
      <c r="C267" s="2"/>
      <c r="D267" s="2"/>
      <c r="E267" s="2"/>
      <c r="F267" s="2"/>
      <c r="G267" s="2"/>
      <c r="H267" s="149"/>
      <c r="K267" s="84"/>
      <c r="L267" s="138"/>
      <c r="M267" s="19"/>
      <c r="N267" s="2"/>
    </row>
    <row r="268" spans="2:14" x14ac:dyDescent="0.25">
      <c r="B268" s="2"/>
      <c r="C268" s="2"/>
      <c r="D268" s="2"/>
      <c r="E268" s="2"/>
      <c r="F268" s="2"/>
      <c r="G268" s="2"/>
      <c r="H268" s="149"/>
      <c r="K268" s="84"/>
      <c r="L268" s="138"/>
      <c r="M268" s="19"/>
      <c r="N268" s="2"/>
    </row>
    <row r="269" spans="2:14" x14ac:dyDescent="0.25">
      <c r="B269" s="2"/>
      <c r="C269" s="2"/>
      <c r="D269" s="2"/>
      <c r="E269" s="2"/>
      <c r="F269" s="2"/>
      <c r="G269" s="2"/>
      <c r="H269" s="149"/>
      <c r="K269" s="84"/>
      <c r="L269" s="138"/>
      <c r="M269" s="19"/>
      <c r="N269" s="2"/>
    </row>
    <row r="270" spans="2:14" x14ac:dyDescent="0.25">
      <c r="B270" s="2"/>
      <c r="C270" s="2"/>
      <c r="D270" s="2"/>
      <c r="E270" s="2"/>
      <c r="F270" s="2"/>
      <c r="G270" s="2"/>
      <c r="H270" s="149"/>
      <c r="K270" s="84"/>
      <c r="L270" s="138"/>
      <c r="M270" s="19"/>
      <c r="N270" s="2"/>
    </row>
    <row r="271" spans="2:14" x14ac:dyDescent="0.25">
      <c r="B271" s="2"/>
      <c r="C271" s="2"/>
      <c r="D271" s="2"/>
      <c r="E271" s="2"/>
      <c r="F271" s="2"/>
      <c r="G271" s="2"/>
      <c r="H271" s="149"/>
      <c r="K271" s="96"/>
      <c r="L271" s="138"/>
      <c r="M271" s="19"/>
      <c r="N271" s="2"/>
    </row>
    <row r="272" spans="2:14" x14ac:dyDescent="0.25">
      <c r="B272" s="2"/>
      <c r="C272" s="2"/>
      <c r="D272" s="2"/>
      <c r="E272" s="2"/>
      <c r="F272" s="2"/>
      <c r="G272" s="2"/>
      <c r="H272" s="149"/>
      <c r="K272" s="96"/>
      <c r="L272" s="138"/>
      <c r="M272" s="19"/>
      <c r="N272" s="2"/>
    </row>
    <row r="273" spans="2:14" x14ac:dyDescent="0.25">
      <c r="B273" s="2"/>
      <c r="C273" s="2"/>
      <c r="D273" s="2"/>
      <c r="E273" s="2"/>
      <c r="F273" s="2"/>
      <c r="G273" s="2"/>
      <c r="H273" s="149"/>
      <c r="K273" s="96"/>
      <c r="L273" s="138"/>
      <c r="M273" s="19"/>
      <c r="N273" s="2"/>
    </row>
    <row r="274" spans="2:14" x14ac:dyDescent="0.25">
      <c r="B274" s="2"/>
      <c r="C274" s="2"/>
      <c r="D274" s="2"/>
      <c r="E274" s="2"/>
      <c r="F274" s="2"/>
      <c r="G274" s="2"/>
      <c r="H274" s="149"/>
      <c r="K274" s="96"/>
      <c r="L274" s="138"/>
      <c r="M274" s="19"/>
      <c r="N274" s="2"/>
    </row>
    <row r="275" spans="2:14" x14ac:dyDescent="0.25">
      <c r="B275" s="2"/>
      <c r="C275" s="2"/>
      <c r="D275" s="2"/>
      <c r="E275" s="2"/>
      <c r="F275" s="2"/>
      <c r="G275" s="2"/>
      <c r="H275" s="149"/>
      <c r="K275" s="96"/>
      <c r="L275" s="138"/>
      <c r="M275" s="19"/>
      <c r="N275" s="2"/>
    </row>
    <row r="276" spans="2:14" x14ac:dyDescent="0.25">
      <c r="B276" s="2"/>
      <c r="C276" s="2"/>
      <c r="D276" s="2"/>
      <c r="E276" s="2"/>
      <c r="F276" s="2"/>
      <c r="G276" s="2"/>
      <c r="H276" s="149"/>
      <c r="K276" s="96"/>
      <c r="L276" s="138"/>
      <c r="M276" s="19"/>
      <c r="N276" s="2"/>
    </row>
    <row r="277" spans="2:14" x14ac:dyDescent="0.25">
      <c r="B277" s="2"/>
      <c r="C277" s="2"/>
      <c r="D277" s="2"/>
      <c r="E277" s="2"/>
      <c r="F277" s="2"/>
      <c r="G277" s="2"/>
      <c r="H277" s="149"/>
      <c r="K277" s="96"/>
      <c r="L277" s="138"/>
      <c r="M277" s="19"/>
      <c r="N277" s="2"/>
    </row>
    <row r="278" spans="2:14" x14ac:dyDescent="0.25">
      <c r="B278" s="2"/>
      <c r="C278" s="2"/>
      <c r="D278" s="2"/>
      <c r="E278" s="2"/>
      <c r="F278" s="2"/>
      <c r="G278" s="2"/>
      <c r="H278" s="149"/>
      <c r="K278" s="96"/>
      <c r="L278" s="138"/>
      <c r="M278" s="19"/>
      <c r="N278" s="2"/>
    </row>
    <row r="279" spans="2:14" x14ac:dyDescent="0.25">
      <c r="B279" s="2"/>
      <c r="C279" s="2"/>
      <c r="D279" s="2"/>
      <c r="E279" s="2"/>
      <c r="F279" s="2"/>
      <c r="G279" s="2"/>
      <c r="H279" s="149"/>
      <c r="K279" s="96"/>
      <c r="L279" s="138"/>
      <c r="M279" s="19"/>
      <c r="N279" s="2"/>
    </row>
    <row r="280" spans="2:14" x14ac:dyDescent="0.25">
      <c r="B280" s="2"/>
      <c r="C280" s="2"/>
      <c r="D280" s="2"/>
      <c r="E280" s="2"/>
      <c r="F280" s="2"/>
      <c r="G280" s="2"/>
      <c r="H280" s="149"/>
      <c r="K280" s="96"/>
      <c r="L280" s="86"/>
      <c r="M280" s="19"/>
      <c r="N280" s="2"/>
    </row>
    <row r="281" spans="2:14" x14ac:dyDescent="0.25">
      <c r="B281" s="2"/>
      <c r="C281" s="2"/>
      <c r="D281" s="2"/>
      <c r="E281" s="2"/>
      <c r="F281" s="2"/>
      <c r="G281" s="2"/>
      <c r="H281" s="149"/>
      <c r="K281" s="96"/>
      <c r="L281" s="86"/>
      <c r="M281" s="19"/>
      <c r="N281" s="2"/>
    </row>
    <row r="282" spans="2:14" x14ac:dyDescent="0.25">
      <c r="B282" s="2"/>
      <c r="C282" s="2"/>
      <c r="D282" s="2"/>
      <c r="E282" s="2"/>
      <c r="F282" s="2"/>
      <c r="G282" s="2"/>
      <c r="H282" s="149"/>
      <c r="K282" s="96"/>
      <c r="L282" s="86"/>
      <c r="M282" s="19"/>
      <c r="N282" s="2"/>
    </row>
    <row r="283" spans="2:14" x14ac:dyDescent="0.25">
      <c r="B283" s="2"/>
      <c r="C283" s="2"/>
      <c r="D283" s="2"/>
      <c r="E283" s="2"/>
      <c r="F283" s="2"/>
      <c r="G283" s="2"/>
      <c r="H283" s="149"/>
      <c r="K283" s="96"/>
      <c r="L283" s="86"/>
      <c r="M283" s="19"/>
      <c r="N283" s="2"/>
    </row>
    <row r="284" spans="2:14" x14ac:dyDescent="0.25">
      <c r="B284" s="2"/>
      <c r="C284" s="2"/>
      <c r="D284" s="2"/>
      <c r="E284" s="2"/>
      <c r="F284" s="2"/>
      <c r="G284" s="2"/>
      <c r="H284" s="149"/>
      <c r="K284" s="96"/>
      <c r="L284" s="86"/>
      <c r="M284" s="19"/>
      <c r="N284" s="2"/>
    </row>
    <row r="285" spans="2:14" x14ac:dyDescent="0.25">
      <c r="B285" s="2"/>
      <c r="C285" s="2"/>
      <c r="D285" s="2"/>
      <c r="E285" s="2"/>
      <c r="F285" s="2"/>
      <c r="G285" s="2"/>
      <c r="H285" s="149"/>
      <c r="K285" s="96"/>
      <c r="L285" s="86"/>
      <c r="M285" s="19"/>
      <c r="N285" s="2"/>
    </row>
    <row r="286" spans="2:14" x14ac:dyDescent="0.25">
      <c r="B286" s="2"/>
      <c r="C286" s="2"/>
      <c r="D286" s="2"/>
      <c r="E286" s="2"/>
      <c r="F286" s="2"/>
      <c r="G286" s="2"/>
      <c r="H286" s="149"/>
      <c r="K286" s="96"/>
      <c r="L286" s="86"/>
      <c r="M286" s="19"/>
      <c r="N286" s="2"/>
    </row>
    <row r="287" spans="2:14" x14ac:dyDescent="0.25">
      <c r="B287" s="2"/>
      <c r="C287" s="2"/>
      <c r="D287" s="2"/>
      <c r="E287" s="2"/>
      <c r="F287" s="2"/>
      <c r="G287" s="2"/>
      <c r="H287" s="149"/>
      <c r="K287" s="96"/>
      <c r="L287" s="86"/>
      <c r="M287" s="19"/>
      <c r="N287" s="2"/>
    </row>
    <row r="288" spans="2:14" x14ac:dyDescent="0.25">
      <c r="B288" s="2"/>
      <c r="C288" s="2"/>
      <c r="D288" s="2"/>
      <c r="E288" s="2"/>
      <c r="F288" s="2"/>
      <c r="G288" s="2"/>
      <c r="H288" s="149"/>
      <c r="K288" s="96"/>
      <c r="L288" s="86"/>
      <c r="M288" s="19"/>
      <c r="N288" s="2"/>
    </row>
    <row r="289" spans="2:14" x14ac:dyDescent="0.25">
      <c r="B289" s="2"/>
      <c r="C289" s="2"/>
      <c r="D289" s="2"/>
      <c r="E289" s="2"/>
      <c r="F289" s="2"/>
      <c r="G289" s="2"/>
      <c r="H289" s="149"/>
      <c r="K289" s="96"/>
      <c r="L289" s="86"/>
      <c r="M289" s="19"/>
      <c r="N289" s="2"/>
    </row>
    <row r="290" spans="2:14" x14ac:dyDescent="0.25">
      <c r="B290" s="2"/>
      <c r="C290" s="2"/>
      <c r="D290" s="2"/>
      <c r="E290" s="2"/>
      <c r="F290" s="2"/>
      <c r="G290" s="2"/>
      <c r="H290" s="149"/>
      <c r="K290" s="96"/>
      <c r="L290" s="86"/>
      <c r="M290" s="19"/>
      <c r="N290" s="2"/>
    </row>
    <row r="291" spans="2:14" x14ac:dyDescent="0.25">
      <c r="B291" s="2"/>
      <c r="C291" s="2"/>
      <c r="D291" s="2"/>
      <c r="E291" s="2"/>
      <c r="F291" s="2"/>
      <c r="G291" s="2"/>
      <c r="H291" s="149"/>
      <c r="K291" s="96"/>
      <c r="L291" s="86"/>
      <c r="M291" s="19"/>
      <c r="N291" s="2"/>
    </row>
    <row r="292" spans="2:14" x14ac:dyDescent="0.25">
      <c r="B292" s="2"/>
      <c r="C292" s="2"/>
      <c r="D292" s="2"/>
      <c r="E292" s="2"/>
      <c r="F292" s="2"/>
      <c r="G292" s="2"/>
      <c r="H292" s="149"/>
      <c r="K292" s="96"/>
      <c r="L292" s="86"/>
      <c r="M292" s="19"/>
      <c r="N292" s="2"/>
    </row>
    <row r="293" spans="2:14" x14ac:dyDescent="0.25">
      <c r="B293" s="2"/>
      <c r="C293" s="2"/>
      <c r="D293" s="2"/>
      <c r="E293" s="2"/>
      <c r="F293" s="2"/>
      <c r="G293" s="2"/>
      <c r="H293" s="149"/>
      <c r="K293" s="96"/>
      <c r="L293" s="86"/>
      <c r="M293" s="19"/>
      <c r="N293" s="2"/>
    </row>
    <row r="294" spans="2:14" x14ac:dyDescent="0.25">
      <c r="B294" s="2"/>
      <c r="C294" s="2"/>
      <c r="D294" s="2"/>
      <c r="E294" s="2"/>
      <c r="F294" s="2"/>
      <c r="G294" s="2"/>
      <c r="H294" s="149"/>
      <c r="K294" s="96"/>
      <c r="L294" s="86"/>
      <c r="M294" s="19"/>
      <c r="N294" s="2"/>
    </row>
    <row r="295" spans="2:14" x14ac:dyDescent="0.25">
      <c r="B295" s="2"/>
      <c r="C295" s="2"/>
      <c r="D295" s="2"/>
      <c r="E295" s="2"/>
      <c r="F295" s="2"/>
      <c r="G295" s="2"/>
      <c r="H295" s="149"/>
      <c r="K295" s="96"/>
      <c r="L295" s="86"/>
      <c r="M295" s="19"/>
      <c r="N295" s="2"/>
    </row>
    <row r="296" spans="2:14" x14ac:dyDescent="0.25">
      <c r="B296" s="2"/>
      <c r="C296" s="2"/>
      <c r="D296" s="2"/>
      <c r="E296" s="2"/>
      <c r="F296" s="2"/>
      <c r="G296" s="2"/>
      <c r="H296" s="149"/>
      <c r="K296" s="96"/>
      <c r="L296" s="86"/>
      <c r="M296" s="19"/>
      <c r="N296" s="2"/>
    </row>
    <row r="297" spans="2:14" x14ac:dyDescent="0.25">
      <c r="B297" s="2"/>
      <c r="C297" s="2"/>
      <c r="D297" s="2"/>
      <c r="E297" s="2"/>
      <c r="F297" s="2"/>
      <c r="G297" s="2"/>
      <c r="H297" s="149"/>
      <c r="K297" s="96"/>
      <c r="L297" s="86"/>
      <c r="M297" s="19"/>
      <c r="N297" s="2"/>
    </row>
    <row r="298" spans="2:14" x14ac:dyDescent="0.25">
      <c r="B298" s="2"/>
      <c r="C298" s="2"/>
      <c r="D298" s="2"/>
      <c r="E298" s="2"/>
      <c r="F298" s="2"/>
      <c r="G298" s="2"/>
      <c r="H298" s="149"/>
      <c r="K298" s="96"/>
      <c r="L298" s="86"/>
      <c r="M298" s="19"/>
      <c r="N298" s="2"/>
    </row>
    <row r="299" spans="2:14" x14ac:dyDescent="0.25">
      <c r="B299" s="2"/>
      <c r="C299" s="2"/>
      <c r="D299" s="2"/>
      <c r="E299" s="2"/>
      <c r="F299" s="2"/>
      <c r="G299" s="2"/>
      <c r="H299" s="149"/>
      <c r="K299" s="96"/>
      <c r="L299" s="86"/>
      <c r="M299" s="19"/>
      <c r="N299" s="2"/>
    </row>
    <row r="300" spans="2:14" x14ac:dyDescent="0.25">
      <c r="B300" s="2"/>
      <c r="C300" s="2"/>
      <c r="D300" s="2"/>
      <c r="E300" s="2"/>
      <c r="F300" s="2"/>
      <c r="G300" s="2"/>
      <c r="H300" s="149"/>
      <c r="K300" s="96"/>
      <c r="L300" s="86"/>
      <c r="M300" s="19"/>
      <c r="N300" s="2"/>
    </row>
    <row r="301" spans="2:14" x14ac:dyDescent="0.25">
      <c r="B301" s="2"/>
      <c r="C301" s="2"/>
      <c r="D301" s="2"/>
      <c r="E301" s="2"/>
      <c r="F301" s="2"/>
      <c r="G301" s="2"/>
      <c r="H301" s="149"/>
      <c r="K301" s="96"/>
      <c r="L301" s="86"/>
      <c r="M301" s="19"/>
      <c r="N301" s="2"/>
    </row>
    <row r="302" spans="2:14" x14ac:dyDescent="0.25">
      <c r="B302" s="2"/>
      <c r="C302" s="2"/>
      <c r="D302" s="2"/>
      <c r="E302" s="2"/>
      <c r="F302" s="2"/>
      <c r="G302" s="2"/>
      <c r="H302" s="149"/>
      <c r="K302" s="96"/>
      <c r="L302" s="86"/>
      <c r="M302" s="19"/>
      <c r="N302" s="2"/>
    </row>
    <row r="303" spans="2:14" x14ac:dyDescent="0.25">
      <c r="B303" s="2"/>
      <c r="C303" s="2"/>
      <c r="D303" s="2"/>
      <c r="E303" s="2"/>
      <c r="F303" s="2"/>
      <c r="G303" s="2"/>
      <c r="H303" s="149"/>
      <c r="K303" s="96"/>
      <c r="L303" s="86"/>
      <c r="M303" s="19"/>
      <c r="N303" s="2"/>
    </row>
    <row r="304" spans="2:14" x14ac:dyDescent="0.25">
      <c r="B304" s="2"/>
      <c r="C304" s="2"/>
      <c r="D304" s="2"/>
      <c r="E304" s="2"/>
      <c r="F304" s="2"/>
      <c r="G304" s="2"/>
      <c r="H304" s="149"/>
      <c r="K304" s="96"/>
      <c r="L304" s="86"/>
      <c r="M304" s="19"/>
      <c r="N304" s="2"/>
    </row>
    <row r="305" spans="2:14" x14ac:dyDescent="0.25">
      <c r="B305" s="2"/>
      <c r="C305" s="2"/>
      <c r="D305" s="2"/>
      <c r="E305" s="2"/>
      <c r="F305" s="2"/>
      <c r="G305" s="2"/>
      <c r="H305" s="149"/>
      <c r="K305" s="96"/>
      <c r="L305" s="86"/>
      <c r="M305" s="19"/>
      <c r="N305" s="2"/>
    </row>
    <row r="306" spans="2:14" x14ac:dyDescent="0.25">
      <c r="B306" s="2"/>
      <c r="C306" s="2"/>
      <c r="D306" s="2"/>
      <c r="E306" s="2"/>
      <c r="F306" s="2"/>
      <c r="G306" s="2"/>
      <c r="H306" s="149"/>
      <c r="K306" s="96"/>
      <c r="L306" s="86"/>
      <c r="M306" s="19"/>
      <c r="N306" s="2"/>
    </row>
    <row r="307" spans="2:14" x14ac:dyDescent="0.25">
      <c r="B307" s="2"/>
      <c r="C307" s="2"/>
      <c r="D307" s="2"/>
      <c r="E307" s="2"/>
      <c r="F307" s="2"/>
      <c r="G307" s="2"/>
      <c r="H307" s="149"/>
      <c r="K307" s="96"/>
      <c r="L307" s="86"/>
      <c r="M307" s="19"/>
      <c r="N307" s="2"/>
    </row>
    <row r="308" spans="2:14" x14ac:dyDescent="0.25">
      <c r="B308" s="2"/>
      <c r="C308" s="2"/>
      <c r="D308" s="2"/>
      <c r="E308" s="2"/>
      <c r="F308" s="2"/>
      <c r="G308" s="2"/>
      <c r="H308" s="149"/>
      <c r="K308" s="96"/>
      <c r="L308" s="86"/>
      <c r="M308" s="19"/>
      <c r="N308" s="2"/>
    </row>
    <row r="309" spans="2:14" x14ac:dyDescent="0.25">
      <c r="B309" s="2"/>
      <c r="C309" s="2"/>
      <c r="D309" s="2"/>
      <c r="E309" s="2"/>
      <c r="F309" s="2"/>
      <c r="G309" s="2"/>
      <c r="H309" s="149"/>
      <c r="K309" s="96"/>
      <c r="L309" s="86"/>
      <c r="M309" s="19"/>
      <c r="N309" s="2"/>
    </row>
    <row r="310" spans="2:14" x14ac:dyDescent="0.25">
      <c r="B310" s="2"/>
      <c r="C310" s="2"/>
      <c r="D310" s="2"/>
      <c r="E310" s="2"/>
      <c r="F310" s="2"/>
      <c r="G310" s="2"/>
      <c r="H310" s="149"/>
      <c r="K310" s="96"/>
      <c r="L310" s="86"/>
      <c r="M310" s="19"/>
      <c r="N310" s="2"/>
    </row>
    <row r="311" spans="2:14" x14ac:dyDescent="0.25">
      <c r="B311" s="2"/>
      <c r="C311" s="2"/>
      <c r="D311" s="2"/>
      <c r="E311" s="2"/>
      <c r="F311" s="2"/>
      <c r="G311" s="2"/>
      <c r="H311" s="149"/>
      <c r="K311" s="96"/>
      <c r="L311" s="86"/>
      <c r="M311" s="19"/>
      <c r="N311" s="2"/>
    </row>
    <row r="312" spans="2:14" x14ac:dyDescent="0.25">
      <c r="B312" s="2"/>
      <c r="C312" s="2"/>
      <c r="D312" s="2"/>
      <c r="E312" s="2"/>
      <c r="F312" s="2"/>
      <c r="G312" s="2"/>
      <c r="H312" s="149"/>
      <c r="K312" s="96"/>
      <c r="L312" s="86"/>
      <c r="M312" s="19"/>
      <c r="N312" s="2"/>
    </row>
    <row r="313" spans="2:14" x14ac:dyDescent="0.25">
      <c r="B313" s="2"/>
      <c r="C313" s="2"/>
      <c r="D313" s="2"/>
      <c r="E313" s="2"/>
      <c r="F313" s="2"/>
      <c r="G313" s="2"/>
      <c r="H313" s="149"/>
      <c r="K313" s="96"/>
      <c r="L313" s="86"/>
      <c r="M313" s="19"/>
      <c r="N313" s="2"/>
    </row>
    <row r="314" spans="2:14" x14ac:dyDescent="0.25">
      <c r="B314" s="2"/>
      <c r="C314" s="2"/>
      <c r="D314" s="2"/>
      <c r="E314" s="2"/>
      <c r="F314" s="2"/>
      <c r="G314" s="2"/>
      <c r="H314" s="149"/>
      <c r="K314" s="96"/>
      <c r="L314" s="86"/>
      <c r="M314" s="19"/>
      <c r="N314" s="2"/>
    </row>
    <row r="315" spans="2:14" x14ac:dyDescent="0.25">
      <c r="B315" s="2"/>
      <c r="C315" s="2"/>
      <c r="D315" s="2"/>
      <c r="E315" s="2"/>
      <c r="F315" s="2"/>
      <c r="G315" s="2"/>
      <c r="H315" s="149"/>
      <c r="K315" s="96"/>
      <c r="L315" s="86"/>
      <c r="M315" s="19"/>
      <c r="N315" s="2"/>
    </row>
    <row r="316" spans="2:14" x14ac:dyDescent="0.25">
      <c r="B316" s="2"/>
      <c r="C316" s="2"/>
      <c r="D316" s="2"/>
      <c r="E316" s="2"/>
      <c r="F316" s="2"/>
      <c r="G316" s="2"/>
      <c r="H316" s="149"/>
      <c r="K316" s="96"/>
      <c r="L316" s="86"/>
      <c r="M316" s="19"/>
      <c r="N316" s="2"/>
    </row>
    <row r="317" spans="2:14" x14ac:dyDescent="0.25">
      <c r="B317" s="2"/>
      <c r="C317" s="2"/>
      <c r="D317" s="2"/>
      <c r="E317" s="2"/>
      <c r="F317" s="2"/>
      <c r="G317" s="2"/>
      <c r="H317" s="149"/>
      <c r="K317" s="96"/>
      <c r="L317" s="86"/>
      <c r="M317" s="19"/>
      <c r="N317" s="2"/>
    </row>
    <row r="318" spans="2:14" x14ac:dyDescent="0.25">
      <c r="B318" s="2"/>
      <c r="C318" s="2"/>
      <c r="D318" s="2"/>
      <c r="E318" s="2"/>
      <c r="F318" s="2"/>
      <c r="G318" s="2"/>
      <c r="H318" s="149"/>
      <c r="K318" s="96"/>
      <c r="L318" s="86"/>
      <c r="M318" s="19"/>
      <c r="N318" s="2"/>
    </row>
    <row r="319" spans="2:14" x14ac:dyDescent="0.25">
      <c r="B319" s="2"/>
      <c r="C319" s="2"/>
      <c r="D319" s="2"/>
      <c r="E319" s="2"/>
      <c r="F319" s="2"/>
      <c r="G319" s="2"/>
      <c r="H319" s="149"/>
      <c r="K319" s="96"/>
      <c r="L319" s="86"/>
      <c r="M319" s="19"/>
      <c r="N319" s="2"/>
    </row>
    <row r="320" spans="2:14" x14ac:dyDescent="0.25">
      <c r="B320" s="2"/>
      <c r="C320" s="2"/>
      <c r="D320" s="2"/>
      <c r="E320" s="2"/>
      <c r="F320" s="2"/>
      <c r="G320" s="2"/>
      <c r="H320" s="149"/>
      <c r="K320" s="96"/>
      <c r="L320" s="86"/>
      <c r="M320" s="19"/>
      <c r="N320" s="2"/>
    </row>
    <row r="321" spans="2:14" x14ac:dyDescent="0.25">
      <c r="B321" s="2"/>
      <c r="C321" s="2"/>
      <c r="D321" s="2"/>
      <c r="E321" s="2"/>
      <c r="F321" s="2"/>
      <c r="G321" s="2"/>
      <c r="H321" s="149"/>
      <c r="K321" s="96"/>
      <c r="L321" s="86"/>
      <c r="M321" s="19"/>
      <c r="N321" s="2"/>
    </row>
    <row r="322" spans="2:14" x14ac:dyDescent="0.25">
      <c r="B322" s="2"/>
      <c r="C322" s="2"/>
      <c r="D322" s="2"/>
      <c r="E322" s="2"/>
      <c r="F322" s="2"/>
      <c r="G322" s="2"/>
      <c r="H322" s="149"/>
      <c r="K322" s="96"/>
      <c r="L322" s="86"/>
      <c r="M322" s="19"/>
      <c r="N322" s="2"/>
    </row>
    <row r="323" spans="2:14" x14ac:dyDescent="0.25">
      <c r="B323" s="2"/>
      <c r="C323" s="2"/>
      <c r="D323" s="2"/>
      <c r="E323" s="2"/>
      <c r="F323" s="2"/>
      <c r="G323" s="2"/>
      <c r="H323" s="149"/>
      <c r="K323" s="96"/>
      <c r="L323" s="86"/>
      <c r="M323" s="19"/>
      <c r="N323" s="2"/>
    </row>
    <row r="324" spans="2:14" x14ac:dyDescent="0.25">
      <c r="B324" s="2"/>
      <c r="C324" s="2"/>
      <c r="D324" s="2"/>
      <c r="E324" s="2"/>
      <c r="F324" s="2"/>
      <c r="G324" s="2"/>
      <c r="H324" s="149"/>
      <c r="K324" s="96"/>
      <c r="L324" s="86"/>
      <c r="M324" s="19"/>
      <c r="N324" s="2"/>
    </row>
    <row r="325" spans="2:14" x14ac:dyDescent="0.25">
      <c r="B325" s="2"/>
      <c r="C325" s="2"/>
      <c r="D325" s="2"/>
      <c r="E325" s="2"/>
      <c r="F325" s="2"/>
      <c r="G325" s="2"/>
      <c r="H325" s="149"/>
      <c r="K325" s="96"/>
      <c r="L325" s="86"/>
      <c r="M325" s="19"/>
      <c r="N325" s="2"/>
    </row>
    <row r="326" spans="2:14" x14ac:dyDescent="0.25">
      <c r="B326" s="2"/>
      <c r="C326" s="2"/>
      <c r="D326" s="2"/>
      <c r="E326" s="2"/>
      <c r="F326" s="2"/>
      <c r="G326" s="2"/>
      <c r="H326" s="149"/>
      <c r="K326" s="96"/>
      <c r="L326" s="86"/>
      <c r="M326" s="19"/>
      <c r="N326" s="2"/>
    </row>
    <row r="327" spans="2:14" x14ac:dyDescent="0.25">
      <c r="B327" s="2"/>
      <c r="C327" s="2"/>
      <c r="D327" s="2"/>
      <c r="E327" s="2"/>
      <c r="F327" s="2"/>
      <c r="G327" s="2"/>
      <c r="H327" s="149"/>
      <c r="K327" s="96"/>
      <c r="L327" s="86"/>
      <c r="M327" s="19"/>
      <c r="N327" s="2"/>
    </row>
    <row r="328" spans="2:14" x14ac:dyDescent="0.25">
      <c r="B328" s="2"/>
      <c r="C328" s="2"/>
      <c r="D328" s="2"/>
      <c r="E328" s="2"/>
      <c r="F328" s="2"/>
      <c r="G328" s="2"/>
      <c r="H328" s="149"/>
      <c r="K328" s="96"/>
      <c r="L328" s="86"/>
      <c r="M328" s="19"/>
      <c r="N328" s="2"/>
    </row>
    <row r="329" spans="2:14" x14ac:dyDescent="0.25">
      <c r="B329" s="2"/>
      <c r="C329" s="2"/>
      <c r="D329" s="2"/>
      <c r="E329" s="2"/>
      <c r="F329" s="2"/>
      <c r="G329" s="2"/>
      <c r="H329" s="149"/>
      <c r="K329" s="96"/>
      <c r="L329" s="86"/>
      <c r="M329" s="19"/>
      <c r="N329" s="2"/>
    </row>
    <row r="330" spans="2:14" x14ac:dyDescent="0.25">
      <c r="B330" s="2"/>
      <c r="C330" s="2"/>
      <c r="D330" s="2"/>
      <c r="E330" s="2"/>
      <c r="F330" s="2"/>
      <c r="G330" s="2"/>
      <c r="H330" s="149"/>
      <c r="K330" s="96"/>
      <c r="L330" s="86"/>
      <c r="M330" s="19"/>
      <c r="N330" s="2"/>
    </row>
    <row r="331" spans="2:14" x14ac:dyDescent="0.25">
      <c r="B331" s="2"/>
      <c r="C331" s="2"/>
      <c r="D331" s="2"/>
      <c r="E331" s="2"/>
      <c r="F331" s="2"/>
      <c r="G331" s="2"/>
      <c r="H331" s="149"/>
      <c r="K331" s="96"/>
      <c r="L331" s="86"/>
      <c r="M331" s="19"/>
      <c r="N331" s="2"/>
    </row>
    <row r="332" spans="2:14" x14ac:dyDescent="0.25">
      <c r="B332" s="2"/>
      <c r="C332" s="2"/>
      <c r="D332" s="2"/>
      <c r="E332" s="2"/>
      <c r="F332" s="2"/>
      <c r="G332" s="2"/>
      <c r="H332" s="149"/>
      <c r="K332" s="96"/>
      <c r="L332" s="86"/>
      <c r="M332" s="19"/>
      <c r="N332" s="2"/>
    </row>
    <row r="333" spans="2:14" x14ac:dyDescent="0.25">
      <c r="B333" s="2"/>
      <c r="C333" s="2"/>
      <c r="D333" s="2"/>
      <c r="E333" s="2"/>
      <c r="F333" s="2"/>
      <c r="G333" s="2"/>
      <c r="H333" s="149"/>
      <c r="K333" s="96"/>
      <c r="L333" s="86"/>
      <c r="M333" s="19"/>
      <c r="N333" s="2"/>
    </row>
    <row r="334" spans="2:14" x14ac:dyDescent="0.25">
      <c r="B334" s="2"/>
      <c r="C334" s="2"/>
      <c r="D334" s="2"/>
      <c r="E334" s="2"/>
      <c r="F334" s="2"/>
      <c r="G334" s="2"/>
      <c r="H334" s="149"/>
      <c r="K334" s="96"/>
      <c r="L334" s="86"/>
      <c r="M334" s="19"/>
      <c r="N334" s="2"/>
    </row>
    <row r="335" spans="2:14" x14ac:dyDescent="0.25">
      <c r="B335" s="2"/>
      <c r="C335" s="2"/>
      <c r="D335" s="2"/>
      <c r="E335" s="2"/>
      <c r="F335" s="2"/>
      <c r="G335" s="2"/>
      <c r="H335" s="149"/>
      <c r="K335" s="96"/>
      <c r="L335" s="86"/>
      <c r="M335" s="19"/>
      <c r="N335" s="2"/>
    </row>
    <row r="336" spans="2:14" x14ac:dyDescent="0.25">
      <c r="B336" s="2"/>
      <c r="C336" s="2"/>
      <c r="D336" s="2"/>
      <c r="E336" s="2"/>
      <c r="F336" s="2"/>
      <c r="G336" s="2"/>
      <c r="H336" s="149"/>
      <c r="K336" s="96"/>
      <c r="L336" s="86"/>
      <c r="M336" s="19"/>
      <c r="N336" s="2"/>
    </row>
    <row r="337" spans="2:14" x14ac:dyDescent="0.25">
      <c r="B337" s="2"/>
      <c r="C337" s="2"/>
      <c r="D337" s="2"/>
      <c r="E337" s="2"/>
      <c r="F337" s="2"/>
      <c r="G337" s="2"/>
      <c r="H337" s="149"/>
      <c r="K337" s="96"/>
      <c r="L337" s="86"/>
      <c r="M337" s="19"/>
      <c r="N337" s="2"/>
    </row>
    <row r="338" spans="2:14" x14ac:dyDescent="0.25">
      <c r="B338" s="2"/>
      <c r="C338" s="2"/>
      <c r="D338" s="2"/>
      <c r="E338" s="2"/>
      <c r="F338" s="2"/>
      <c r="G338" s="2"/>
      <c r="H338" s="149"/>
      <c r="K338" s="96"/>
      <c r="L338" s="86"/>
      <c r="M338" s="19"/>
      <c r="N338" s="2"/>
    </row>
    <row r="339" spans="2:14" x14ac:dyDescent="0.25">
      <c r="B339" s="2"/>
      <c r="C339" s="2"/>
      <c r="D339" s="2"/>
      <c r="E339" s="2"/>
      <c r="F339" s="2"/>
      <c r="G339" s="2"/>
      <c r="H339" s="149"/>
      <c r="K339" s="96"/>
      <c r="L339" s="86"/>
      <c r="M339" s="19"/>
      <c r="N339" s="2"/>
    </row>
    <row r="340" spans="2:14" x14ac:dyDescent="0.25">
      <c r="B340" s="2"/>
      <c r="C340" s="2"/>
      <c r="D340" s="2"/>
      <c r="E340" s="2"/>
      <c r="F340" s="2"/>
      <c r="G340" s="2"/>
      <c r="H340" s="149"/>
      <c r="K340" s="96"/>
      <c r="L340" s="86"/>
      <c r="M340" s="19"/>
      <c r="N340" s="2"/>
    </row>
    <row r="341" spans="2:14" x14ac:dyDescent="0.25">
      <c r="B341" s="2"/>
      <c r="C341" s="2"/>
      <c r="D341" s="2"/>
      <c r="E341" s="2"/>
      <c r="F341" s="2"/>
      <c r="G341" s="2"/>
      <c r="H341" s="149"/>
      <c r="K341" s="96"/>
      <c r="L341" s="86"/>
      <c r="M341" s="19"/>
      <c r="N341" s="2"/>
    </row>
    <row r="342" spans="2:14" x14ac:dyDescent="0.25">
      <c r="B342" s="2"/>
      <c r="C342" s="2"/>
      <c r="D342" s="2"/>
      <c r="E342" s="2"/>
      <c r="F342" s="2"/>
      <c r="G342" s="2"/>
      <c r="H342" s="149"/>
      <c r="K342" s="96"/>
      <c r="L342" s="86"/>
      <c r="M342" s="19"/>
      <c r="N342" s="2"/>
    </row>
    <row r="343" spans="2:14" x14ac:dyDescent="0.25">
      <c r="B343" s="2"/>
      <c r="C343" s="2"/>
      <c r="D343" s="2"/>
      <c r="E343" s="2"/>
      <c r="F343" s="2"/>
      <c r="G343" s="2"/>
      <c r="H343" s="149"/>
      <c r="K343" s="96"/>
      <c r="L343" s="86"/>
      <c r="M343" s="19"/>
      <c r="N343" s="2"/>
    </row>
    <row r="344" spans="2:14" x14ac:dyDescent="0.25">
      <c r="B344" s="2"/>
      <c r="C344" s="2"/>
      <c r="D344" s="2"/>
      <c r="E344" s="2"/>
      <c r="F344" s="2"/>
      <c r="G344" s="2"/>
      <c r="H344" s="149"/>
      <c r="K344" s="96"/>
      <c r="L344" s="86"/>
      <c r="M344" s="19"/>
      <c r="N344" s="2"/>
    </row>
    <row r="345" spans="2:14" x14ac:dyDescent="0.25">
      <c r="B345" s="2"/>
      <c r="C345" s="2"/>
      <c r="D345" s="2"/>
      <c r="E345" s="2"/>
      <c r="F345" s="2"/>
      <c r="G345" s="2"/>
      <c r="H345" s="149"/>
      <c r="K345" s="96"/>
      <c r="L345" s="86"/>
      <c r="M345" s="19"/>
      <c r="N345" s="2"/>
    </row>
    <row r="346" spans="2:14" x14ac:dyDescent="0.25">
      <c r="B346" s="2"/>
      <c r="C346" s="2"/>
      <c r="D346" s="2"/>
      <c r="E346" s="2"/>
      <c r="F346" s="2"/>
      <c r="G346" s="2"/>
      <c r="H346" s="149"/>
      <c r="K346" s="96"/>
      <c r="L346" s="86"/>
      <c r="M346" s="19"/>
      <c r="N346" s="2"/>
    </row>
    <row r="347" spans="2:14" x14ac:dyDescent="0.25">
      <c r="B347" s="2"/>
      <c r="C347" s="2"/>
      <c r="D347" s="2"/>
      <c r="E347" s="2"/>
      <c r="F347" s="2"/>
      <c r="G347" s="2"/>
      <c r="H347" s="149"/>
      <c r="K347" s="96"/>
      <c r="L347" s="86"/>
      <c r="M347" s="19"/>
      <c r="N347" s="2"/>
    </row>
    <row r="348" spans="2:14" x14ac:dyDescent="0.25">
      <c r="B348" s="2"/>
      <c r="C348" s="2"/>
      <c r="D348" s="2"/>
      <c r="E348" s="2"/>
      <c r="F348" s="2"/>
      <c r="G348" s="2"/>
      <c r="H348" s="149"/>
      <c r="K348" s="96"/>
      <c r="L348" s="86"/>
      <c r="M348" s="19"/>
      <c r="N348" s="2"/>
    </row>
    <row r="349" spans="2:14" x14ac:dyDescent="0.25">
      <c r="B349" s="2"/>
      <c r="C349" s="2"/>
      <c r="D349" s="2"/>
      <c r="E349" s="2"/>
      <c r="F349" s="2"/>
      <c r="G349" s="2"/>
      <c r="H349" s="149"/>
      <c r="K349" s="96"/>
      <c r="L349" s="86"/>
      <c r="M349" s="19"/>
      <c r="N349" s="2"/>
    </row>
    <row r="350" spans="2:14" x14ac:dyDescent="0.25">
      <c r="B350" s="2"/>
      <c r="C350" s="2"/>
      <c r="D350" s="2"/>
      <c r="E350" s="2"/>
      <c r="F350" s="2"/>
      <c r="G350" s="2"/>
      <c r="H350" s="149"/>
      <c r="K350" s="96"/>
      <c r="L350" s="86"/>
      <c r="M350" s="19"/>
      <c r="N350" s="2"/>
    </row>
    <row r="351" spans="2:14" x14ac:dyDescent="0.25">
      <c r="B351" s="2"/>
      <c r="C351" s="2"/>
      <c r="D351" s="2"/>
      <c r="E351" s="2"/>
      <c r="F351" s="2"/>
      <c r="G351" s="2"/>
      <c r="H351" s="149"/>
      <c r="K351" s="96"/>
      <c r="L351" s="86"/>
      <c r="M351" s="19"/>
      <c r="N351" s="2"/>
    </row>
    <row r="352" spans="2:14" x14ac:dyDescent="0.25">
      <c r="B352" s="2"/>
      <c r="C352" s="2"/>
      <c r="D352" s="2"/>
      <c r="E352" s="2"/>
      <c r="F352" s="2"/>
      <c r="G352" s="2"/>
      <c r="H352" s="149"/>
      <c r="K352" s="96"/>
      <c r="L352" s="86"/>
      <c r="M352" s="19"/>
      <c r="N352" s="2"/>
    </row>
    <row r="353" spans="2:14" x14ac:dyDescent="0.25">
      <c r="B353" s="2"/>
      <c r="C353" s="2"/>
      <c r="D353" s="2"/>
      <c r="E353" s="2"/>
      <c r="F353" s="2"/>
      <c r="G353" s="2"/>
      <c r="H353" s="149"/>
      <c r="K353" s="96"/>
      <c r="L353" s="86"/>
      <c r="M353" s="19"/>
      <c r="N353" s="2"/>
    </row>
    <row r="354" spans="2:14" x14ac:dyDescent="0.25">
      <c r="B354" s="2"/>
      <c r="C354" s="2"/>
      <c r="D354" s="2"/>
      <c r="E354" s="2"/>
      <c r="F354" s="2"/>
      <c r="G354" s="2"/>
      <c r="H354" s="149"/>
      <c r="K354" s="96"/>
      <c r="L354" s="86"/>
      <c r="M354" s="19"/>
      <c r="N354" s="2"/>
    </row>
    <row r="355" spans="2:14" x14ac:dyDescent="0.25">
      <c r="B355" s="2"/>
      <c r="C355" s="2"/>
      <c r="D355" s="2"/>
      <c r="E355" s="2"/>
      <c r="F355" s="2"/>
      <c r="G355" s="2"/>
      <c r="H355" s="149"/>
      <c r="K355" s="96"/>
      <c r="L355" s="86"/>
      <c r="M355" s="19"/>
      <c r="N355" s="2"/>
    </row>
    <row r="356" spans="2:14" x14ac:dyDescent="0.25">
      <c r="B356" s="2"/>
      <c r="C356" s="2"/>
      <c r="D356" s="2"/>
      <c r="E356" s="2"/>
      <c r="F356" s="2"/>
      <c r="G356" s="2"/>
      <c r="H356" s="149"/>
      <c r="K356" s="96"/>
      <c r="L356" s="86"/>
      <c r="M356" s="19"/>
      <c r="N356" s="2"/>
    </row>
    <row r="357" spans="2:14" x14ac:dyDescent="0.25">
      <c r="B357" s="2"/>
      <c r="C357" s="2"/>
      <c r="D357" s="2"/>
      <c r="E357" s="2"/>
      <c r="F357" s="2"/>
      <c r="G357" s="2"/>
      <c r="H357" s="149"/>
      <c r="K357" s="96"/>
      <c r="L357" s="86"/>
      <c r="M357" s="19"/>
      <c r="N357" s="2"/>
    </row>
    <row r="358" spans="2:14" x14ac:dyDescent="0.25">
      <c r="B358" s="2"/>
      <c r="C358" s="2"/>
      <c r="D358" s="2"/>
      <c r="E358" s="2"/>
      <c r="F358" s="2"/>
      <c r="G358" s="2"/>
      <c r="H358" s="149"/>
      <c r="K358" s="96"/>
      <c r="L358" s="86"/>
      <c r="M358" s="19"/>
      <c r="N358" s="2"/>
    </row>
    <row r="359" spans="2:14" x14ac:dyDescent="0.25">
      <c r="B359" s="2"/>
      <c r="C359" s="2"/>
      <c r="D359" s="2"/>
      <c r="E359" s="2"/>
      <c r="F359" s="2"/>
      <c r="G359" s="2"/>
      <c r="H359" s="149"/>
      <c r="K359" s="96"/>
      <c r="L359" s="86"/>
      <c r="M359" s="19"/>
      <c r="N359" s="2"/>
    </row>
    <row r="360" spans="2:14" x14ac:dyDescent="0.25">
      <c r="B360" s="2"/>
      <c r="C360" s="2"/>
      <c r="D360" s="2"/>
      <c r="E360" s="2"/>
      <c r="F360" s="2"/>
      <c r="G360" s="2"/>
      <c r="H360" s="149"/>
      <c r="K360" s="96"/>
      <c r="L360" s="86"/>
      <c r="M360" s="19"/>
      <c r="N360" s="2"/>
    </row>
    <row r="361" spans="2:14" x14ac:dyDescent="0.25">
      <c r="B361" s="2"/>
      <c r="C361" s="2"/>
      <c r="D361" s="2"/>
      <c r="E361" s="2"/>
      <c r="F361" s="2"/>
      <c r="G361" s="2"/>
      <c r="H361" s="149"/>
      <c r="K361" s="96"/>
      <c r="L361" s="86"/>
      <c r="M361" s="19"/>
      <c r="N361" s="2"/>
    </row>
    <row r="362" spans="2:14" x14ac:dyDescent="0.25">
      <c r="B362" s="2"/>
      <c r="C362" s="2"/>
      <c r="D362" s="2"/>
      <c r="E362" s="2"/>
      <c r="F362" s="2"/>
      <c r="G362" s="2"/>
      <c r="H362" s="149"/>
      <c r="K362" s="96"/>
      <c r="L362" s="86"/>
      <c r="M362" s="19"/>
      <c r="N362" s="2"/>
    </row>
    <row r="363" spans="2:14" x14ac:dyDescent="0.25">
      <c r="B363" s="2"/>
      <c r="C363" s="2"/>
      <c r="D363" s="2"/>
      <c r="E363" s="2"/>
      <c r="F363" s="2"/>
      <c r="G363" s="2"/>
      <c r="H363" s="149"/>
      <c r="K363" s="96"/>
      <c r="L363" s="86"/>
      <c r="M363" s="19"/>
      <c r="N363" s="2"/>
    </row>
    <row r="364" spans="2:14" x14ac:dyDescent="0.25">
      <c r="B364" s="2"/>
      <c r="C364" s="2"/>
      <c r="D364" s="2"/>
      <c r="E364" s="2"/>
      <c r="F364" s="2"/>
      <c r="G364" s="2"/>
      <c r="H364" s="149"/>
      <c r="K364" s="96"/>
      <c r="L364" s="86"/>
      <c r="M364" s="19"/>
      <c r="N364" s="2"/>
    </row>
    <row r="365" spans="2:14" x14ac:dyDescent="0.25">
      <c r="B365" s="2"/>
      <c r="C365" s="2"/>
      <c r="D365" s="2"/>
      <c r="E365" s="2"/>
      <c r="F365" s="2"/>
      <c r="G365" s="2"/>
      <c r="H365" s="149"/>
      <c r="K365" s="96"/>
      <c r="L365" s="86"/>
      <c r="M365" s="19"/>
      <c r="N365" s="2"/>
    </row>
    <row r="366" spans="2:14" x14ac:dyDescent="0.25">
      <c r="B366" s="2"/>
      <c r="C366" s="2"/>
      <c r="D366" s="2"/>
      <c r="E366" s="2"/>
      <c r="F366" s="2"/>
      <c r="G366" s="2"/>
      <c r="H366" s="149"/>
      <c r="K366" s="96"/>
      <c r="L366" s="86"/>
      <c r="M366" s="19"/>
      <c r="N366" s="2"/>
    </row>
    <row r="367" spans="2:14" x14ac:dyDescent="0.25">
      <c r="B367" s="2"/>
      <c r="C367" s="2"/>
      <c r="D367" s="2"/>
      <c r="E367" s="2"/>
      <c r="F367" s="2"/>
      <c r="G367" s="2"/>
      <c r="H367" s="149"/>
      <c r="K367" s="96"/>
      <c r="L367" s="86"/>
      <c r="M367" s="19"/>
      <c r="N367" s="2"/>
    </row>
    <row r="368" spans="2:14" x14ac:dyDescent="0.25">
      <c r="B368" s="2"/>
      <c r="C368" s="2"/>
      <c r="D368" s="2"/>
      <c r="E368" s="2"/>
      <c r="F368" s="2"/>
      <c r="G368" s="2"/>
      <c r="H368" s="149"/>
      <c r="K368" s="96"/>
      <c r="L368" s="86"/>
      <c r="M368" s="19"/>
      <c r="N368" s="2"/>
    </row>
    <row r="369" spans="2:14" x14ac:dyDescent="0.25">
      <c r="B369" s="2"/>
      <c r="C369" s="2"/>
      <c r="D369" s="2"/>
      <c r="E369" s="2"/>
      <c r="F369" s="2"/>
      <c r="G369" s="2"/>
      <c r="H369" s="149"/>
      <c r="K369" s="96"/>
      <c r="L369" s="86"/>
      <c r="M369" s="19"/>
      <c r="N369" s="2"/>
    </row>
    <row r="370" spans="2:14" x14ac:dyDescent="0.25">
      <c r="B370" s="2"/>
      <c r="C370" s="2"/>
      <c r="D370" s="2"/>
      <c r="E370" s="2"/>
      <c r="F370" s="2"/>
      <c r="G370" s="2"/>
      <c r="H370" s="149"/>
      <c r="K370" s="96"/>
      <c r="L370" s="86"/>
      <c r="M370" s="19"/>
      <c r="N370" s="2"/>
    </row>
    <row r="371" spans="2:14" x14ac:dyDescent="0.25">
      <c r="B371" s="2"/>
      <c r="C371" s="2"/>
      <c r="D371" s="2"/>
      <c r="E371" s="2"/>
      <c r="F371" s="2"/>
      <c r="G371" s="2"/>
      <c r="H371" s="149"/>
      <c r="K371" s="96"/>
      <c r="L371" s="86"/>
      <c r="M371" s="19"/>
      <c r="N371" s="2"/>
    </row>
    <row r="372" spans="2:14" x14ac:dyDescent="0.25">
      <c r="B372" s="2"/>
      <c r="C372" s="2"/>
      <c r="D372" s="2"/>
      <c r="E372" s="2"/>
      <c r="F372" s="2"/>
      <c r="G372" s="2"/>
      <c r="H372" s="149"/>
      <c r="K372" s="96"/>
      <c r="L372" s="86"/>
      <c r="M372" s="19"/>
      <c r="N372" s="2"/>
    </row>
    <row r="373" spans="2:14" x14ac:dyDescent="0.25">
      <c r="B373" s="2"/>
      <c r="C373" s="2"/>
      <c r="D373" s="2"/>
      <c r="E373" s="2"/>
      <c r="F373" s="2"/>
      <c r="G373" s="2"/>
      <c r="H373" s="149"/>
      <c r="K373" s="96"/>
      <c r="L373" s="86"/>
      <c r="M373" s="19"/>
      <c r="N373" s="2"/>
    </row>
    <row r="374" spans="2:14" x14ac:dyDescent="0.25">
      <c r="B374" s="2"/>
      <c r="C374" s="2"/>
      <c r="D374" s="2"/>
      <c r="E374" s="2"/>
      <c r="F374" s="2"/>
      <c r="G374" s="2"/>
      <c r="H374" s="149"/>
      <c r="J374" s="96"/>
      <c r="K374" s="96"/>
      <c r="L374" s="86"/>
      <c r="M374" s="19"/>
      <c r="N374" s="2"/>
    </row>
    <row r="375" spans="2:14" x14ac:dyDescent="0.25">
      <c r="B375" s="2"/>
      <c r="C375" s="2"/>
      <c r="D375" s="2"/>
      <c r="E375" s="2"/>
      <c r="F375" s="2"/>
      <c r="G375" s="2"/>
      <c r="H375" s="149"/>
      <c r="J375" s="96"/>
      <c r="K375" s="96"/>
      <c r="L375" s="86"/>
      <c r="M375" s="19"/>
      <c r="N375" s="2"/>
    </row>
    <row r="376" spans="2:14" x14ac:dyDescent="0.25">
      <c r="B376" s="2"/>
      <c r="C376" s="2"/>
      <c r="D376" s="2"/>
      <c r="E376" s="2"/>
      <c r="F376" s="2"/>
      <c r="G376" s="2"/>
      <c r="H376" s="149"/>
      <c r="J376" s="96"/>
      <c r="K376" s="96"/>
      <c r="L376" s="86"/>
      <c r="M376" s="19"/>
      <c r="N376" s="2"/>
    </row>
    <row r="377" spans="2:14" x14ac:dyDescent="0.25">
      <c r="B377" s="2"/>
      <c r="C377" s="2"/>
      <c r="D377" s="2"/>
      <c r="E377" s="2"/>
      <c r="F377" s="2"/>
      <c r="G377" s="2"/>
      <c r="H377" s="149"/>
      <c r="J377" s="96"/>
      <c r="K377" s="96"/>
      <c r="L377" s="86"/>
      <c r="M377" s="19"/>
      <c r="N377" s="2"/>
    </row>
    <row r="378" spans="2:14" x14ac:dyDescent="0.25">
      <c r="B378" s="2"/>
      <c r="C378" s="2"/>
      <c r="D378" s="2"/>
      <c r="E378" s="2"/>
      <c r="F378" s="2"/>
      <c r="G378" s="2"/>
      <c r="H378" s="149"/>
      <c r="J378" s="96"/>
      <c r="K378" s="96"/>
      <c r="L378" s="86"/>
      <c r="M378" s="19"/>
      <c r="N378" s="2"/>
    </row>
    <row r="379" spans="2:14" x14ac:dyDescent="0.25">
      <c r="B379" s="2"/>
      <c r="C379" s="2"/>
      <c r="D379" s="2"/>
      <c r="E379" s="2"/>
      <c r="F379" s="2"/>
      <c r="G379" s="2"/>
      <c r="H379" s="149"/>
      <c r="J379" s="96"/>
      <c r="K379" s="96"/>
      <c r="L379" s="86"/>
      <c r="M379" s="19"/>
      <c r="N379" s="2"/>
    </row>
    <row r="380" spans="2:14" x14ac:dyDescent="0.25">
      <c r="B380" s="2"/>
      <c r="C380" s="2"/>
      <c r="D380" s="2"/>
      <c r="E380" s="2"/>
      <c r="F380" s="2"/>
      <c r="G380" s="2"/>
      <c r="H380" s="149"/>
      <c r="J380" s="96"/>
      <c r="K380" s="96"/>
      <c r="L380" s="86"/>
      <c r="M380" s="19"/>
      <c r="N380" s="2"/>
    </row>
    <row r="381" spans="2:14" x14ac:dyDescent="0.25">
      <c r="B381" s="2"/>
      <c r="C381" s="2"/>
      <c r="D381" s="2"/>
      <c r="E381" s="2"/>
      <c r="F381" s="2"/>
      <c r="G381" s="2"/>
      <c r="H381" s="149"/>
      <c r="J381" s="96"/>
      <c r="K381" s="96"/>
      <c r="L381" s="86"/>
      <c r="M381" s="19"/>
      <c r="N381" s="2"/>
    </row>
    <row r="382" spans="2:14" x14ac:dyDescent="0.25">
      <c r="B382" s="2"/>
      <c r="C382" s="2"/>
      <c r="D382" s="2"/>
      <c r="E382" s="2"/>
      <c r="F382" s="2"/>
      <c r="G382" s="2"/>
      <c r="H382" s="149"/>
      <c r="J382" s="96"/>
      <c r="K382" s="96"/>
      <c r="L382" s="86"/>
      <c r="M382" s="19"/>
      <c r="N382" s="2"/>
    </row>
    <row r="383" spans="2:14" x14ac:dyDescent="0.25">
      <c r="B383" s="2"/>
      <c r="C383" s="2"/>
      <c r="D383" s="2"/>
      <c r="E383" s="2"/>
      <c r="F383" s="2"/>
      <c r="G383" s="2"/>
      <c r="H383" s="149"/>
      <c r="J383" s="96"/>
      <c r="K383" s="96"/>
      <c r="L383" s="86"/>
      <c r="M383" s="19"/>
      <c r="N383" s="2"/>
    </row>
    <row r="384" spans="2:14" x14ac:dyDescent="0.25">
      <c r="B384" s="2"/>
      <c r="C384" s="2"/>
      <c r="D384" s="2"/>
      <c r="E384" s="2"/>
      <c r="F384" s="2"/>
      <c r="G384" s="2"/>
      <c r="H384" s="149"/>
      <c r="J384" s="96"/>
      <c r="K384" s="96"/>
      <c r="L384" s="86"/>
      <c r="M384" s="19"/>
      <c r="N384" s="2"/>
    </row>
    <row r="385" spans="2:14" x14ac:dyDescent="0.25">
      <c r="B385" s="2"/>
      <c r="C385" s="2"/>
      <c r="D385" s="2"/>
      <c r="E385" s="2"/>
      <c r="F385" s="2"/>
      <c r="G385" s="2"/>
      <c r="H385" s="149"/>
      <c r="J385" s="96"/>
      <c r="K385" s="96"/>
      <c r="L385" s="86"/>
      <c r="M385" s="19"/>
      <c r="N385" s="2"/>
    </row>
    <row r="386" spans="2:14" x14ac:dyDescent="0.25">
      <c r="B386" s="2"/>
      <c r="C386" s="2"/>
      <c r="D386" s="2"/>
      <c r="E386" s="2"/>
      <c r="F386" s="2"/>
      <c r="G386" s="2"/>
      <c r="H386" s="149"/>
      <c r="J386" s="96"/>
      <c r="K386" s="96"/>
      <c r="L386" s="86"/>
      <c r="M386" s="19"/>
      <c r="N386" s="2"/>
    </row>
    <row r="387" spans="2:14" x14ac:dyDescent="0.25">
      <c r="B387" s="2"/>
      <c r="C387" s="2"/>
      <c r="D387" s="2"/>
      <c r="E387" s="2"/>
      <c r="F387" s="2"/>
      <c r="G387" s="2"/>
      <c r="H387" s="149"/>
      <c r="J387" s="96"/>
      <c r="K387" s="96"/>
      <c r="L387" s="86"/>
      <c r="M387" s="19"/>
      <c r="N387" s="2"/>
    </row>
    <row r="388" spans="2:14" x14ac:dyDescent="0.25">
      <c r="B388" s="2"/>
      <c r="C388" s="2"/>
      <c r="D388" s="2"/>
      <c r="E388" s="2"/>
      <c r="F388" s="2"/>
      <c r="G388" s="2"/>
      <c r="H388" s="2"/>
      <c r="J388" s="96"/>
      <c r="K388" s="96"/>
      <c r="L388" s="86"/>
      <c r="M388" s="19"/>
      <c r="N388" s="2"/>
    </row>
    <row r="389" spans="2:14" x14ac:dyDescent="0.25">
      <c r="B389" s="2"/>
      <c r="C389" s="2"/>
      <c r="D389" s="2"/>
      <c r="E389" s="2"/>
      <c r="F389" s="2"/>
      <c r="G389" s="2"/>
      <c r="H389" s="2"/>
      <c r="J389" s="96"/>
      <c r="K389" s="96"/>
      <c r="L389" s="86"/>
      <c r="M389" s="19"/>
      <c r="N389" s="2"/>
    </row>
    <row r="390" spans="2:14" x14ac:dyDescent="0.25">
      <c r="B390" s="2"/>
      <c r="C390" s="2"/>
      <c r="D390" s="2"/>
      <c r="E390" s="2"/>
      <c r="F390" s="2"/>
      <c r="G390" s="2"/>
      <c r="H390" s="2"/>
      <c r="J390" s="96"/>
      <c r="K390" s="96"/>
      <c r="L390" s="86"/>
      <c r="M390" s="19"/>
      <c r="N390" s="2"/>
    </row>
    <row r="391" spans="2:14" x14ac:dyDescent="0.25">
      <c r="B391" s="2"/>
      <c r="C391" s="2"/>
      <c r="D391" s="2"/>
      <c r="E391" s="2"/>
      <c r="F391" s="2"/>
      <c r="G391" s="2"/>
      <c r="H391" s="2"/>
      <c r="J391" s="96"/>
      <c r="K391" s="96"/>
      <c r="L391" s="86"/>
      <c r="M391" s="19"/>
      <c r="N391" s="2"/>
    </row>
    <row r="392" spans="2:14" x14ac:dyDescent="0.25">
      <c r="B392" s="2"/>
      <c r="C392" s="2"/>
      <c r="D392" s="2"/>
      <c r="E392" s="2"/>
      <c r="F392" s="2"/>
      <c r="G392" s="2"/>
      <c r="H392" s="2"/>
      <c r="J392" s="96"/>
      <c r="K392" s="96"/>
      <c r="L392" s="86"/>
      <c r="M392" s="19"/>
      <c r="N392" s="2"/>
    </row>
    <row r="393" spans="2:14" x14ac:dyDescent="0.25">
      <c r="B393" s="2"/>
      <c r="C393" s="2"/>
      <c r="D393" s="2"/>
      <c r="E393" s="2"/>
      <c r="F393" s="2"/>
      <c r="G393" s="2"/>
      <c r="H393" s="2"/>
      <c r="J393" s="96"/>
      <c r="K393" s="96"/>
      <c r="L393" s="86"/>
      <c r="M393" s="19"/>
      <c r="N393" s="2"/>
    </row>
    <row r="394" spans="2:14" x14ac:dyDescent="0.25">
      <c r="B394" s="2"/>
      <c r="C394" s="2"/>
      <c r="D394" s="2"/>
      <c r="E394" s="2"/>
      <c r="F394" s="2"/>
      <c r="G394" s="2"/>
      <c r="H394" s="2"/>
      <c r="J394" s="96"/>
      <c r="K394" s="96"/>
      <c r="L394" s="86"/>
      <c r="M394" s="19"/>
      <c r="N394" s="2"/>
    </row>
    <row r="395" spans="2:14" x14ac:dyDescent="0.25">
      <c r="B395" s="2"/>
      <c r="C395" s="2"/>
      <c r="D395" s="2"/>
      <c r="E395" s="2"/>
      <c r="F395" s="2"/>
      <c r="G395" s="2"/>
      <c r="H395" s="2"/>
      <c r="J395" s="96"/>
      <c r="K395" s="96"/>
      <c r="L395" s="86"/>
      <c r="M395" s="19"/>
      <c r="N395" s="2"/>
    </row>
    <row r="396" spans="2:14" x14ac:dyDescent="0.25">
      <c r="B396" s="2"/>
      <c r="C396" s="2"/>
      <c r="D396" s="2"/>
      <c r="E396" s="2"/>
      <c r="F396" s="2"/>
      <c r="G396" s="2"/>
      <c r="H396" s="2"/>
      <c r="J396" s="96"/>
      <c r="K396" s="96"/>
      <c r="L396" s="86"/>
      <c r="M396" s="19"/>
      <c r="N396" s="2"/>
    </row>
    <row r="397" spans="2:14" x14ac:dyDescent="0.25">
      <c r="B397" s="2"/>
      <c r="C397" s="2"/>
      <c r="D397" s="2"/>
      <c r="E397" s="2"/>
      <c r="F397" s="2"/>
      <c r="G397" s="2"/>
      <c r="H397" s="2"/>
      <c r="J397" s="96"/>
      <c r="K397" s="96"/>
      <c r="L397" s="86"/>
      <c r="M397" s="19"/>
      <c r="N397" s="2"/>
    </row>
    <row r="398" spans="2:14" x14ac:dyDescent="0.25">
      <c r="B398" s="2"/>
      <c r="C398" s="2"/>
      <c r="D398" s="2"/>
      <c r="E398" s="2"/>
      <c r="F398" s="2"/>
      <c r="G398" s="2"/>
      <c r="H398" s="2"/>
      <c r="J398" s="96"/>
      <c r="K398" s="96"/>
      <c r="L398" s="86"/>
      <c r="M398" s="19"/>
      <c r="N398" s="2"/>
    </row>
    <row r="399" spans="2:14" x14ac:dyDescent="0.25">
      <c r="B399" s="2"/>
      <c r="C399" s="2"/>
      <c r="D399" s="2"/>
      <c r="E399" s="2"/>
      <c r="F399" s="2"/>
      <c r="G399" s="2"/>
      <c r="H399" s="2"/>
      <c r="J399" s="96"/>
      <c r="K399" s="96"/>
      <c r="L399" s="86"/>
      <c r="M399" s="19"/>
      <c r="N399" s="2"/>
    </row>
    <row r="400" spans="2:14" x14ac:dyDescent="0.25">
      <c r="B400" s="2"/>
      <c r="C400" s="2"/>
      <c r="D400" s="2"/>
      <c r="E400" s="2"/>
      <c r="F400" s="2"/>
      <c r="G400" s="2"/>
      <c r="H400" s="2"/>
      <c r="J400" s="96"/>
      <c r="K400" s="96"/>
      <c r="L400" s="86"/>
      <c r="M400" s="19"/>
      <c r="N400" s="2"/>
    </row>
    <row r="401" spans="2:14" x14ac:dyDescent="0.25">
      <c r="B401" s="2"/>
      <c r="C401" s="2"/>
      <c r="D401" s="2"/>
      <c r="E401" s="2"/>
      <c r="F401" s="2"/>
      <c r="G401" s="2"/>
      <c r="H401" s="2"/>
      <c r="J401" s="96"/>
      <c r="K401" s="96"/>
      <c r="L401" s="86"/>
      <c r="M401" s="19"/>
      <c r="N401" s="2"/>
    </row>
    <row r="402" spans="2:14" x14ac:dyDescent="0.25">
      <c r="B402" s="2"/>
      <c r="C402" s="2"/>
      <c r="D402" s="2"/>
      <c r="E402" s="2"/>
      <c r="F402" s="2"/>
      <c r="G402" s="2"/>
      <c r="H402" s="2"/>
      <c r="J402" s="96"/>
      <c r="K402" s="96"/>
      <c r="L402" s="86"/>
      <c r="M402" s="19"/>
      <c r="N402" s="2"/>
    </row>
    <row r="403" spans="2:14" x14ac:dyDescent="0.25">
      <c r="B403" s="2"/>
      <c r="C403" s="2"/>
      <c r="D403" s="2"/>
      <c r="E403" s="2"/>
      <c r="F403" s="2"/>
      <c r="G403" s="2"/>
      <c r="H403" s="2"/>
      <c r="J403" s="96"/>
      <c r="K403" s="96"/>
      <c r="L403" s="86"/>
      <c r="M403" s="19"/>
      <c r="N403" s="2"/>
    </row>
    <row r="404" spans="2:14" x14ac:dyDescent="0.25">
      <c r="B404" s="2"/>
      <c r="C404" s="2"/>
      <c r="D404" s="2"/>
      <c r="E404" s="2"/>
      <c r="F404" s="2"/>
      <c r="G404" s="2"/>
      <c r="H404" s="2"/>
      <c r="J404" s="96"/>
      <c r="K404" s="96"/>
      <c r="L404" s="86"/>
      <c r="M404" s="19"/>
      <c r="N404" s="2"/>
    </row>
    <row r="405" spans="2:14" x14ac:dyDescent="0.25">
      <c r="B405" s="2"/>
      <c r="C405" s="2"/>
      <c r="D405" s="2"/>
      <c r="E405" s="2"/>
      <c r="F405" s="2"/>
      <c r="G405" s="2"/>
      <c r="H405" s="2"/>
      <c r="J405" s="96"/>
      <c r="K405" s="96"/>
      <c r="L405" s="86"/>
      <c r="M405" s="19"/>
      <c r="N405" s="2"/>
    </row>
    <row r="406" spans="2:14" x14ac:dyDescent="0.25">
      <c r="B406" s="2"/>
      <c r="C406" s="2"/>
      <c r="D406" s="2"/>
      <c r="E406" s="2"/>
      <c r="F406" s="2"/>
      <c r="G406" s="2"/>
      <c r="H406" s="2"/>
      <c r="J406" s="96"/>
      <c r="K406" s="96"/>
      <c r="L406" s="86"/>
      <c r="M406" s="19"/>
      <c r="N406" s="2"/>
    </row>
    <row r="407" spans="2:14" x14ac:dyDescent="0.25">
      <c r="B407" s="2"/>
      <c r="C407" s="2"/>
      <c r="D407" s="2"/>
      <c r="E407" s="2"/>
      <c r="F407" s="2"/>
      <c r="G407" s="2"/>
      <c r="H407" s="2"/>
      <c r="J407" s="96"/>
      <c r="K407" s="96"/>
      <c r="L407" s="86"/>
      <c r="M407" s="19"/>
      <c r="N407" s="2"/>
    </row>
    <row r="408" spans="2:14" x14ac:dyDescent="0.25">
      <c r="B408" s="2"/>
      <c r="C408" s="2"/>
      <c r="D408" s="2"/>
      <c r="E408" s="2"/>
      <c r="F408" s="2"/>
      <c r="G408" s="2"/>
      <c r="H408" s="2"/>
      <c r="J408" s="96"/>
      <c r="K408" s="96"/>
      <c r="L408" s="86"/>
      <c r="M408" s="19"/>
      <c r="N408" s="2"/>
    </row>
    <row r="409" spans="2:14" x14ac:dyDescent="0.25">
      <c r="B409" s="2"/>
      <c r="C409" s="2"/>
      <c r="D409" s="2"/>
      <c r="E409" s="2"/>
      <c r="F409" s="2"/>
      <c r="G409" s="2"/>
      <c r="H409" s="2"/>
      <c r="J409" s="96"/>
      <c r="K409" s="96"/>
      <c r="L409" s="86"/>
      <c r="M409" s="19"/>
      <c r="N409" s="2"/>
    </row>
    <row r="410" spans="2:14" x14ac:dyDescent="0.25">
      <c r="B410" s="2"/>
      <c r="C410" s="2"/>
      <c r="D410" s="2"/>
      <c r="E410" s="2"/>
      <c r="F410" s="2"/>
      <c r="G410" s="2"/>
      <c r="H410" s="2"/>
      <c r="J410" s="96"/>
      <c r="K410" s="96"/>
      <c r="L410" s="86"/>
      <c r="M410" s="19"/>
      <c r="N410" s="2"/>
    </row>
    <row r="411" spans="2:14" x14ac:dyDescent="0.25">
      <c r="B411" s="2"/>
      <c r="C411" s="2"/>
      <c r="D411" s="2"/>
      <c r="E411" s="2"/>
      <c r="F411" s="2"/>
      <c r="G411" s="2"/>
      <c r="H411" s="2"/>
      <c r="J411" s="96"/>
      <c r="K411" s="96"/>
      <c r="L411" s="86"/>
      <c r="M411" s="19"/>
      <c r="N411" s="2"/>
    </row>
    <row r="412" spans="2:14" x14ac:dyDescent="0.25">
      <c r="B412" s="2"/>
      <c r="C412" s="2"/>
      <c r="D412" s="2"/>
      <c r="E412" s="2"/>
      <c r="F412" s="2"/>
      <c r="G412" s="2"/>
      <c r="H412" s="2"/>
      <c r="J412" s="96"/>
      <c r="K412" s="96"/>
      <c r="L412" s="86"/>
      <c r="M412" s="19"/>
      <c r="N412" s="2"/>
    </row>
    <row r="413" spans="2:14" x14ac:dyDescent="0.25">
      <c r="B413" s="2"/>
      <c r="C413" s="2"/>
      <c r="D413" s="2"/>
      <c r="E413" s="2"/>
      <c r="F413" s="2"/>
      <c r="G413" s="2"/>
      <c r="H413" s="2"/>
      <c r="J413" s="96"/>
      <c r="K413" s="96"/>
      <c r="L413" s="86"/>
      <c r="M413" s="19"/>
      <c r="N413" s="2"/>
    </row>
    <row r="414" spans="2:14" x14ac:dyDescent="0.25">
      <c r="B414" s="2"/>
      <c r="C414" s="2"/>
      <c r="D414" s="2"/>
      <c r="E414" s="2"/>
      <c r="F414" s="2"/>
      <c r="G414" s="2"/>
      <c r="H414" s="2"/>
      <c r="J414" s="96"/>
      <c r="K414" s="96"/>
      <c r="L414" s="86"/>
      <c r="M414" s="19"/>
      <c r="N414" s="2"/>
    </row>
    <row r="415" spans="2:14" x14ac:dyDescent="0.25">
      <c r="B415" s="2"/>
      <c r="C415" s="2"/>
      <c r="D415" s="2"/>
      <c r="E415" s="2"/>
      <c r="F415" s="2"/>
      <c r="G415" s="2"/>
      <c r="H415" s="2"/>
      <c r="J415" s="96"/>
      <c r="K415" s="96"/>
      <c r="L415" s="86"/>
      <c r="M415" s="19"/>
      <c r="N415" s="2"/>
    </row>
    <row r="416" spans="2:14" x14ac:dyDescent="0.25">
      <c r="B416" s="2"/>
      <c r="C416" s="2"/>
      <c r="D416" s="2"/>
      <c r="E416" s="2"/>
      <c r="F416" s="2"/>
      <c r="G416" s="2"/>
      <c r="H416" s="2"/>
      <c r="J416" s="96"/>
      <c r="K416" s="96"/>
      <c r="L416" s="86"/>
      <c r="M416" s="19"/>
      <c r="N416" s="2"/>
    </row>
    <row r="417" spans="2:14" x14ac:dyDescent="0.25">
      <c r="B417" s="2"/>
      <c r="C417" s="2"/>
      <c r="D417" s="2"/>
      <c r="E417" s="2"/>
      <c r="F417" s="2"/>
      <c r="G417" s="2"/>
      <c r="H417" s="2"/>
      <c r="J417" s="96"/>
      <c r="K417" s="96"/>
      <c r="L417" s="86"/>
      <c r="M417" s="19"/>
      <c r="N417" s="2"/>
    </row>
    <row r="418" spans="2:14" x14ac:dyDescent="0.25">
      <c r="B418" s="2"/>
      <c r="C418" s="2"/>
      <c r="D418" s="2"/>
      <c r="E418" s="2"/>
      <c r="F418" s="2"/>
      <c r="G418" s="2"/>
      <c r="H418" s="2"/>
      <c r="J418" s="96"/>
      <c r="K418" s="96"/>
      <c r="L418" s="86"/>
      <c r="M418" s="19"/>
      <c r="N418" s="2"/>
    </row>
    <row r="419" spans="2:14" x14ac:dyDescent="0.25">
      <c r="B419" s="2"/>
      <c r="C419" s="2"/>
      <c r="D419" s="2"/>
      <c r="E419" s="2"/>
      <c r="F419" s="2"/>
      <c r="G419" s="2"/>
      <c r="H419" s="2"/>
      <c r="J419" s="96"/>
      <c r="K419" s="96"/>
      <c r="L419" s="86"/>
      <c r="M419" s="19"/>
      <c r="N419" s="2"/>
    </row>
    <row r="420" spans="2:14" x14ac:dyDescent="0.25">
      <c r="B420" s="2"/>
      <c r="C420" s="2"/>
      <c r="D420" s="2"/>
      <c r="E420" s="2"/>
      <c r="F420" s="2"/>
      <c r="G420" s="2"/>
      <c r="H420" s="2"/>
      <c r="J420" s="96"/>
      <c r="K420" s="96"/>
      <c r="L420" s="86"/>
      <c r="M420" s="19"/>
      <c r="N420" s="2"/>
    </row>
    <row r="421" spans="2:14" x14ac:dyDescent="0.25">
      <c r="B421" s="2"/>
      <c r="C421" s="2"/>
      <c r="D421" s="2"/>
      <c r="E421" s="2"/>
      <c r="F421" s="2"/>
      <c r="G421" s="2"/>
      <c r="H421" s="2"/>
      <c r="J421" s="96"/>
      <c r="K421" s="96"/>
      <c r="L421" s="86"/>
      <c r="M421" s="19"/>
      <c r="N421" s="2"/>
    </row>
    <row r="422" spans="2:14" x14ac:dyDescent="0.25">
      <c r="B422" s="2"/>
      <c r="C422" s="2"/>
      <c r="D422" s="2"/>
      <c r="E422" s="2"/>
      <c r="F422" s="2"/>
      <c r="G422" s="2"/>
      <c r="H422" s="2"/>
      <c r="J422" s="96"/>
      <c r="K422" s="96"/>
      <c r="L422" s="86"/>
      <c r="M422" s="19"/>
      <c r="N422" s="2"/>
    </row>
    <row r="423" spans="2:14" x14ac:dyDescent="0.25">
      <c r="B423" s="2"/>
      <c r="C423" s="2"/>
      <c r="D423" s="2"/>
      <c r="E423" s="2"/>
      <c r="F423" s="2"/>
      <c r="G423" s="2"/>
      <c r="H423" s="2"/>
      <c r="J423" s="96"/>
      <c r="K423" s="96"/>
      <c r="L423" s="86"/>
      <c r="M423" s="19"/>
      <c r="N423" s="2"/>
    </row>
    <row r="424" spans="2:14" x14ac:dyDescent="0.25">
      <c r="B424" s="2"/>
      <c r="C424" s="2"/>
      <c r="D424" s="2"/>
      <c r="E424" s="2"/>
      <c r="F424" s="2"/>
      <c r="G424" s="2"/>
      <c r="H424" s="2"/>
      <c r="J424" s="96"/>
      <c r="K424" s="96"/>
      <c r="L424" s="86"/>
      <c r="M424" s="19"/>
      <c r="N424" s="2"/>
    </row>
    <row r="425" spans="2:14" x14ac:dyDescent="0.25">
      <c r="B425" s="2"/>
      <c r="C425" s="2"/>
      <c r="D425" s="2"/>
      <c r="E425" s="2"/>
      <c r="F425" s="2"/>
      <c r="G425" s="2"/>
      <c r="H425" s="2"/>
      <c r="J425" s="96"/>
      <c r="K425" s="96"/>
      <c r="L425" s="86"/>
      <c r="M425" s="19"/>
      <c r="N425" s="2"/>
    </row>
    <row r="426" spans="2:14" x14ac:dyDescent="0.25">
      <c r="B426" s="2"/>
      <c r="C426" s="2"/>
      <c r="D426" s="2"/>
      <c r="E426" s="2"/>
      <c r="F426" s="2"/>
      <c r="G426" s="2"/>
      <c r="H426" s="2"/>
      <c r="J426" s="96"/>
      <c r="K426" s="96"/>
      <c r="L426" s="86"/>
      <c r="M426" s="19"/>
      <c r="N426" s="2"/>
    </row>
    <row r="427" spans="2:14" x14ac:dyDescent="0.25">
      <c r="B427" s="2"/>
      <c r="C427" s="2"/>
      <c r="D427" s="2"/>
      <c r="E427" s="2"/>
      <c r="F427" s="2"/>
      <c r="G427" s="2"/>
      <c r="H427" s="2"/>
      <c r="J427" s="96"/>
      <c r="K427" s="96"/>
      <c r="L427" s="86"/>
      <c r="M427" s="19"/>
      <c r="N427" s="2"/>
    </row>
    <row r="428" spans="2:14" x14ac:dyDescent="0.25">
      <c r="B428" s="2"/>
      <c r="C428" s="2"/>
      <c r="D428" s="2"/>
      <c r="E428" s="2"/>
      <c r="F428" s="2"/>
      <c r="G428" s="2"/>
      <c r="H428" s="2"/>
      <c r="J428" s="96"/>
      <c r="K428" s="96"/>
      <c r="L428" s="86"/>
      <c r="M428" s="19"/>
      <c r="N428" s="2"/>
    </row>
    <row r="429" spans="2:14" x14ac:dyDescent="0.25">
      <c r="B429" s="2"/>
      <c r="C429" s="2"/>
      <c r="D429" s="2"/>
      <c r="E429" s="2"/>
      <c r="F429" s="2"/>
      <c r="G429" s="2"/>
      <c r="H429" s="2"/>
      <c r="J429" s="96"/>
      <c r="K429" s="96"/>
      <c r="L429" s="86"/>
      <c r="M429" s="19"/>
      <c r="N429" s="2"/>
    </row>
    <row r="430" spans="2:14" x14ac:dyDescent="0.25">
      <c r="B430" s="2"/>
      <c r="C430" s="2"/>
      <c r="D430" s="2"/>
      <c r="E430" s="2"/>
      <c r="F430" s="2"/>
      <c r="G430" s="2"/>
      <c r="H430" s="2"/>
      <c r="J430" s="96"/>
      <c r="K430" s="96"/>
      <c r="L430" s="86"/>
      <c r="M430" s="19"/>
      <c r="N430" s="2"/>
    </row>
    <row r="431" spans="2:14" x14ac:dyDescent="0.25">
      <c r="B431" s="2"/>
      <c r="C431" s="2"/>
      <c r="D431" s="2"/>
      <c r="E431" s="2"/>
      <c r="F431" s="2"/>
      <c r="G431" s="2"/>
      <c r="H431" s="2"/>
      <c r="J431" s="96"/>
      <c r="K431" s="96"/>
      <c r="L431" s="86"/>
      <c r="M431" s="19"/>
      <c r="N431" s="2"/>
    </row>
    <row r="432" spans="2:14" x14ac:dyDescent="0.25">
      <c r="B432" s="2"/>
      <c r="C432" s="2"/>
      <c r="D432" s="2"/>
      <c r="E432" s="2"/>
      <c r="F432" s="2"/>
      <c r="G432" s="2"/>
      <c r="H432" s="2"/>
      <c r="J432" s="96"/>
      <c r="K432" s="96"/>
      <c r="L432" s="86"/>
      <c r="M432" s="19"/>
      <c r="N432" s="2"/>
    </row>
    <row r="433" spans="2:14" x14ac:dyDescent="0.25">
      <c r="B433" s="2"/>
      <c r="C433" s="2"/>
      <c r="D433" s="2"/>
      <c r="E433" s="2"/>
      <c r="F433" s="2"/>
      <c r="G433" s="2"/>
      <c r="H433" s="2"/>
      <c r="J433" s="96"/>
      <c r="K433" s="96"/>
      <c r="L433" s="86"/>
      <c r="M433" s="19"/>
      <c r="N433" s="2"/>
    </row>
    <row r="434" spans="2:14" x14ac:dyDescent="0.25">
      <c r="B434" s="2"/>
      <c r="C434" s="2"/>
      <c r="D434" s="2"/>
      <c r="E434" s="2"/>
      <c r="F434" s="2"/>
      <c r="G434" s="2"/>
      <c r="H434" s="2"/>
      <c r="J434" s="96"/>
      <c r="K434" s="96"/>
      <c r="L434" s="86"/>
      <c r="M434" s="19"/>
      <c r="N434" s="2"/>
    </row>
    <row r="435" spans="2:14" x14ac:dyDescent="0.25">
      <c r="B435" s="2"/>
      <c r="C435" s="2"/>
      <c r="D435" s="2"/>
      <c r="E435" s="2"/>
      <c r="F435" s="2"/>
      <c r="G435" s="2"/>
      <c r="H435" s="2"/>
      <c r="J435" s="96"/>
      <c r="K435" s="96"/>
      <c r="L435" s="86"/>
      <c r="M435" s="19"/>
      <c r="N435" s="2"/>
    </row>
    <row r="436" spans="2:14" x14ac:dyDescent="0.25">
      <c r="B436" s="2"/>
      <c r="C436" s="2"/>
      <c r="D436" s="2"/>
      <c r="E436" s="2"/>
      <c r="F436" s="2"/>
      <c r="G436" s="2"/>
      <c r="H436" s="2"/>
      <c r="J436" s="96"/>
      <c r="K436" s="96"/>
      <c r="L436" s="86"/>
      <c r="M436" s="19"/>
      <c r="N436" s="2"/>
    </row>
    <row r="437" spans="2:14" x14ac:dyDescent="0.25">
      <c r="B437" s="2"/>
      <c r="C437" s="2"/>
      <c r="D437" s="2"/>
      <c r="E437" s="2"/>
      <c r="F437" s="2"/>
      <c r="G437" s="2"/>
      <c r="H437" s="2"/>
      <c r="J437" s="96"/>
      <c r="K437" s="96"/>
      <c r="L437" s="86"/>
      <c r="M437" s="19"/>
      <c r="N437" s="2"/>
    </row>
    <row r="438" spans="2:14" x14ac:dyDescent="0.25">
      <c r="B438" s="2"/>
      <c r="C438" s="2"/>
      <c r="D438" s="2"/>
      <c r="E438" s="2"/>
      <c r="F438" s="2"/>
      <c r="G438" s="2"/>
      <c r="H438" s="2"/>
      <c r="J438" s="96"/>
      <c r="K438" s="96"/>
      <c r="L438" s="86"/>
      <c r="M438" s="19"/>
      <c r="N438" s="2"/>
    </row>
    <row r="439" spans="2:14" x14ac:dyDescent="0.25">
      <c r="B439" s="2"/>
      <c r="C439" s="2"/>
      <c r="D439" s="2"/>
      <c r="E439" s="2"/>
      <c r="F439" s="2"/>
      <c r="G439" s="2"/>
      <c r="H439" s="2"/>
      <c r="J439" s="96"/>
      <c r="K439" s="96"/>
      <c r="L439" s="86"/>
      <c r="M439" s="19"/>
      <c r="N439" s="2"/>
    </row>
    <row r="440" spans="2:14" x14ac:dyDescent="0.25">
      <c r="B440" s="2"/>
      <c r="C440" s="2"/>
      <c r="D440" s="2"/>
      <c r="E440" s="2"/>
      <c r="F440" s="2"/>
      <c r="G440" s="2"/>
      <c r="H440" s="2"/>
      <c r="J440" s="96"/>
      <c r="K440" s="96"/>
      <c r="L440" s="86"/>
      <c r="M440" s="19"/>
      <c r="N440" s="2"/>
    </row>
    <row r="441" spans="2:14" x14ac:dyDescent="0.25">
      <c r="B441" s="2"/>
      <c r="C441" s="2"/>
      <c r="D441" s="2"/>
      <c r="E441" s="2"/>
      <c r="F441" s="2"/>
      <c r="G441" s="2"/>
      <c r="H441" s="2"/>
      <c r="J441" s="96"/>
      <c r="K441" s="96"/>
      <c r="L441" s="86"/>
      <c r="M441" s="19"/>
      <c r="N441" s="2"/>
    </row>
    <row r="442" spans="2:14" x14ac:dyDescent="0.25">
      <c r="B442" s="2"/>
      <c r="C442" s="2"/>
      <c r="D442" s="2"/>
      <c r="E442" s="2"/>
      <c r="F442" s="2"/>
      <c r="G442" s="2"/>
      <c r="H442" s="2"/>
      <c r="J442" s="96"/>
      <c r="K442" s="96"/>
      <c r="L442" s="86"/>
      <c r="M442" s="19"/>
      <c r="N442" s="2"/>
    </row>
    <row r="443" spans="2:14" x14ac:dyDescent="0.25">
      <c r="B443" s="2"/>
      <c r="C443" s="2"/>
      <c r="D443" s="2"/>
      <c r="E443" s="2"/>
      <c r="F443" s="2"/>
      <c r="G443" s="2"/>
      <c r="H443" s="2"/>
      <c r="J443" s="96"/>
      <c r="K443" s="96"/>
      <c r="L443" s="86"/>
      <c r="M443" s="19"/>
      <c r="N443" s="2"/>
    </row>
    <row r="444" spans="2:14" x14ac:dyDescent="0.25">
      <c r="B444" s="2"/>
      <c r="C444" s="2"/>
      <c r="D444" s="2"/>
      <c r="E444" s="2"/>
      <c r="F444" s="2"/>
      <c r="G444" s="2"/>
      <c r="H444" s="2"/>
      <c r="J444" s="96"/>
      <c r="K444" s="96"/>
      <c r="M444" s="19"/>
      <c r="N444" s="2"/>
    </row>
    <row r="445" spans="2:14" x14ac:dyDescent="0.25">
      <c r="B445" s="2"/>
      <c r="C445" s="2"/>
      <c r="D445" s="2"/>
      <c r="E445" s="2"/>
      <c r="F445" s="2"/>
      <c r="G445" s="2"/>
      <c r="H445" s="2"/>
      <c r="J445" s="96"/>
      <c r="K445" s="96"/>
      <c r="M445" s="19"/>
      <c r="N445" s="2"/>
    </row>
    <row r="446" spans="2:14" x14ac:dyDescent="0.25">
      <c r="B446" s="2"/>
      <c r="C446" s="2"/>
      <c r="D446" s="2"/>
      <c r="E446" s="2"/>
      <c r="F446" s="2"/>
      <c r="G446" s="2"/>
      <c r="H446" s="2"/>
      <c r="J446" s="96"/>
      <c r="K446" s="96"/>
      <c r="M446" s="19"/>
      <c r="N446" s="2"/>
    </row>
    <row r="447" spans="2:14" x14ac:dyDescent="0.25">
      <c r="B447" s="2"/>
      <c r="C447" s="2"/>
      <c r="D447" s="2"/>
      <c r="E447" s="2"/>
      <c r="F447" s="2"/>
      <c r="G447" s="2"/>
      <c r="H447" s="2"/>
      <c r="J447" s="96"/>
      <c r="K447" s="96"/>
      <c r="M447" s="19"/>
      <c r="N447" s="2"/>
    </row>
    <row r="448" spans="2:14" x14ac:dyDescent="0.25">
      <c r="B448" s="2"/>
      <c r="C448" s="2"/>
      <c r="D448" s="2"/>
      <c r="E448" s="2"/>
      <c r="F448" s="2"/>
      <c r="G448" s="2"/>
      <c r="H448" s="2"/>
      <c r="J448" s="96"/>
      <c r="K448" s="96"/>
      <c r="M448" s="19"/>
      <c r="N448" s="2"/>
    </row>
    <row r="449" spans="2:14" x14ac:dyDescent="0.25">
      <c r="B449" s="2"/>
      <c r="C449" s="2"/>
      <c r="D449" s="2"/>
      <c r="E449" s="2"/>
      <c r="F449" s="2"/>
      <c r="G449" s="2"/>
      <c r="H449" s="2"/>
      <c r="J449" s="96"/>
      <c r="K449" s="96"/>
      <c r="M449" s="19"/>
      <c r="N449" s="2"/>
    </row>
    <row r="450" spans="2:14" x14ac:dyDescent="0.25">
      <c r="B450" s="2"/>
      <c r="C450" s="2"/>
      <c r="D450" s="2"/>
      <c r="E450" s="2"/>
      <c r="F450" s="2"/>
      <c r="G450" s="2"/>
      <c r="H450" s="2"/>
      <c r="J450" s="96"/>
      <c r="K450" s="96"/>
      <c r="M450" s="19"/>
      <c r="N450" s="2"/>
    </row>
    <row r="451" spans="2:14" x14ac:dyDescent="0.25">
      <c r="B451" s="2"/>
      <c r="C451" s="2"/>
      <c r="D451" s="2"/>
      <c r="E451" s="2"/>
      <c r="F451" s="2"/>
      <c r="G451" s="2"/>
      <c r="H451" s="2"/>
      <c r="J451" s="96"/>
      <c r="K451" s="96"/>
      <c r="M451" s="19"/>
      <c r="N451" s="2"/>
    </row>
    <row r="452" spans="2:14" x14ac:dyDescent="0.25">
      <c r="B452" s="2"/>
      <c r="C452" s="2"/>
      <c r="D452" s="2"/>
      <c r="E452" s="2"/>
      <c r="F452" s="2"/>
      <c r="G452" s="2"/>
      <c r="H452" s="2"/>
      <c r="J452" s="96"/>
      <c r="K452" s="96"/>
      <c r="M452" s="19"/>
      <c r="N452" s="2"/>
    </row>
    <row r="453" spans="2:14" x14ac:dyDescent="0.25">
      <c r="B453" s="2"/>
      <c r="C453" s="2"/>
      <c r="D453" s="2"/>
      <c r="E453" s="2"/>
      <c r="F453" s="2"/>
      <c r="G453" s="2"/>
      <c r="H453" s="2"/>
      <c r="J453" s="96"/>
      <c r="K453" s="96"/>
      <c r="M453" s="19"/>
      <c r="N453" s="2"/>
    </row>
    <row r="454" spans="2:14" x14ac:dyDescent="0.25">
      <c r="B454" s="2"/>
      <c r="C454" s="2"/>
      <c r="D454" s="2"/>
      <c r="E454" s="2"/>
      <c r="F454" s="2"/>
      <c r="G454" s="2"/>
      <c r="H454" s="2"/>
      <c r="J454" s="96"/>
      <c r="K454" s="96"/>
      <c r="M454" s="19"/>
      <c r="N454" s="2"/>
    </row>
    <row r="455" spans="2:14" x14ac:dyDescent="0.25">
      <c r="B455" s="2"/>
      <c r="C455" s="2"/>
      <c r="D455" s="2"/>
      <c r="E455" s="2"/>
      <c r="F455" s="2"/>
      <c r="G455" s="2"/>
      <c r="H455" s="2"/>
      <c r="J455" s="96"/>
      <c r="K455" s="96"/>
      <c r="M455" s="19"/>
      <c r="N455" s="2"/>
    </row>
    <row r="456" spans="2:14" x14ac:dyDescent="0.25">
      <c r="B456" s="2"/>
      <c r="C456" s="2"/>
      <c r="D456" s="2"/>
      <c r="E456" s="2"/>
      <c r="F456" s="2"/>
      <c r="G456" s="2"/>
      <c r="H456" s="2"/>
      <c r="J456" s="96"/>
      <c r="K456" s="96"/>
      <c r="M456" s="19"/>
      <c r="N456" s="2"/>
    </row>
    <row r="457" spans="2:14" x14ac:dyDescent="0.25">
      <c r="B457" s="2"/>
      <c r="C457" s="2"/>
      <c r="D457" s="2"/>
      <c r="E457" s="2"/>
      <c r="F457" s="2"/>
      <c r="G457" s="2"/>
      <c r="H457" s="2"/>
      <c r="J457" s="96"/>
      <c r="K457" s="96"/>
      <c r="M457" s="19"/>
      <c r="N457" s="2"/>
    </row>
    <row r="458" spans="2:14" x14ac:dyDescent="0.25">
      <c r="B458" s="2"/>
      <c r="C458" s="2"/>
      <c r="D458" s="2"/>
      <c r="E458" s="2"/>
      <c r="F458" s="2"/>
      <c r="G458" s="2"/>
      <c r="H458" s="2"/>
      <c r="J458" s="96"/>
      <c r="K458" s="96"/>
      <c r="M458" s="19"/>
      <c r="N458" s="2"/>
    </row>
    <row r="459" spans="2:14" x14ac:dyDescent="0.25">
      <c r="B459" s="2"/>
      <c r="C459" s="2"/>
      <c r="D459" s="2"/>
      <c r="E459" s="2"/>
      <c r="F459" s="2"/>
      <c r="G459" s="2"/>
      <c r="H459" s="2"/>
      <c r="J459" s="96"/>
      <c r="K459" s="96"/>
      <c r="M459" s="19"/>
      <c r="N459" s="2"/>
    </row>
    <row r="460" spans="2:14" x14ac:dyDescent="0.25">
      <c r="B460" s="2"/>
      <c r="C460" s="2"/>
      <c r="D460" s="2"/>
      <c r="E460" s="2"/>
      <c r="F460" s="2"/>
      <c r="G460" s="2"/>
      <c r="H460" s="2"/>
      <c r="J460" s="96"/>
      <c r="K460" s="96"/>
      <c r="M460" s="19"/>
      <c r="N460" s="2"/>
    </row>
    <row r="461" spans="2:14" x14ac:dyDescent="0.25">
      <c r="B461" s="2"/>
      <c r="C461" s="2"/>
      <c r="D461" s="2"/>
      <c r="E461" s="2"/>
      <c r="F461" s="2"/>
      <c r="G461" s="2"/>
      <c r="H461" s="2"/>
      <c r="J461" s="96"/>
      <c r="K461" s="96"/>
      <c r="M461" s="19"/>
      <c r="N461" s="2"/>
    </row>
    <row r="462" spans="2:14" x14ac:dyDescent="0.25">
      <c r="B462" s="2"/>
      <c r="C462" s="2"/>
      <c r="D462" s="2"/>
      <c r="E462" s="2"/>
      <c r="F462" s="2"/>
      <c r="G462" s="2"/>
      <c r="H462" s="2"/>
      <c r="J462" s="96"/>
      <c r="K462" s="96"/>
      <c r="M462" s="19"/>
      <c r="N462" s="2"/>
    </row>
    <row r="463" spans="2:14" x14ac:dyDescent="0.25">
      <c r="B463" s="2"/>
      <c r="C463" s="2"/>
      <c r="D463" s="2"/>
      <c r="E463" s="2"/>
      <c r="F463" s="2"/>
      <c r="G463" s="2"/>
      <c r="H463" s="2"/>
      <c r="J463" s="96"/>
      <c r="K463" s="96"/>
      <c r="M463" s="19"/>
      <c r="N463" s="2"/>
    </row>
    <row r="464" spans="2:14" x14ac:dyDescent="0.25">
      <c r="B464" s="2"/>
      <c r="C464" s="2"/>
      <c r="D464" s="2"/>
      <c r="E464" s="2"/>
      <c r="F464" s="2"/>
      <c r="G464" s="2"/>
      <c r="H464" s="2"/>
      <c r="J464" s="96"/>
      <c r="K464" s="96"/>
      <c r="M464" s="19"/>
      <c r="N464" s="2"/>
    </row>
    <row r="465" spans="2:14" x14ac:dyDescent="0.25">
      <c r="B465" s="2"/>
      <c r="C465" s="2"/>
      <c r="D465" s="2"/>
      <c r="E465" s="2"/>
      <c r="F465" s="2"/>
      <c r="G465" s="2"/>
      <c r="H465" s="2"/>
      <c r="J465" s="96"/>
      <c r="K465" s="96"/>
      <c r="M465" s="19"/>
      <c r="N465" s="2"/>
    </row>
    <row r="466" spans="2:14" x14ac:dyDescent="0.25">
      <c r="B466" s="2"/>
      <c r="C466" s="2"/>
      <c r="D466" s="2"/>
      <c r="E466" s="2"/>
      <c r="F466" s="2"/>
      <c r="G466" s="2"/>
      <c r="H466" s="2"/>
      <c r="J466" s="96"/>
      <c r="K466" s="96"/>
      <c r="M466" s="19"/>
      <c r="N466" s="2"/>
    </row>
    <row r="467" spans="2:14" x14ac:dyDescent="0.25">
      <c r="B467" s="2"/>
      <c r="C467" s="2"/>
      <c r="D467" s="2"/>
      <c r="E467" s="2"/>
      <c r="F467" s="2"/>
      <c r="G467" s="2"/>
      <c r="H467" s="2"/>
      <c r="J467" s="96"/>
      <c r="K467" s="96"/>
      <c r="M467" s="19"/>
      <c r="N467" s="2"/>
    </row>
    <row r="468" spans="2:14" x14ac:dyDescent="0.25">
      <c r="B468" s="2"/>
      <c r="C468" s="2"/>
      <c r="D468" s="2"/>
      <c r="E468" s="2"/>
      <c r="F468" s="2"/>
      <c r="G468" s="2"/>
      <c r="H468" s="2"/>
      <c r="J468" s="96"/>
      <c r="K468" s="96"/>
      <c r="M468" s="19"/>
      <c r="N468" s="2"/>
    </row>
    <row r="469" spans="2:14" x14ac:dyDescent="0.25">
      <c r="B469" s="2"/>
      <c r="C469" s="2"/>
      <c r="D469" s="2"/>
      <c r="E469" s="2"/>
      <c r="F469" s="2"/>
      <c r="G469" s="2"/>
      <c r="H469" s="2"/>
      <c r="J469" s="96"/>
      <c r="K469" s="96"/>
      <c r="M469" s="19"/>
      <c r="N469" s="2"/>
    </row>
    <row r="470" spans="2:14" x14ac:dyDescent="0.25">
      <c r="B470" s="2"/>
      <c r="C470" s="2"/>
      <c r="D470" s="2"/>
      <c r="E470" s="2"/>
      <c r="F470" s="2"/>
      <c r="G470" s="2"/>
      <c r="H470" s="2"/>
      <c r="J470" s="96"/>
      <c r="K470" s="96"/>
      <c r="M470" s="19"/>
      <c r="N470" s="2"/>
    </row>
    <row r="471" spans="2:14" x14ac:dyDescent="0.25">
      <c r="B471" s="2"/>
      <c r="C471" s="2"/>
      <c r="D471" s="2"/>
      <c r="E471" s="2"/>
      <c r="F471" s="2"/>
      <c r="G471" s="2"/>
      <c r="H471" s="2"/>
      <c r="J471" s="96"/>
      <c r="K471" s="96"/>
      <c r="M471" s="19"/>
      <c r="N471" s="2"/>
    </row>
    <row r="472" spans="2:14" x14ac:dyDescent="0.25">
      <c r="B472" s="2"/>
      <c r="C472" s="2"/>
      <c r="D472" s="2"/>
      <c r="E472" s="2"/>
      <c r="F472" s="2"/>
      <c r="G472" s="2"/>
      <c r="H472" s="2"/>
      <c r="J472" s="96"/>
      <c r="K472" s="96"/>
      <c r="M472" s="19"/>
      <c r="N472" s="2"/>
    </row>
    <row r="473" spans="2:14" x14ac:dyDescent="0.25">
      <c r="B473" s="2"/>
      <c r="C473" s="2"/>
      <c r="D473" s="2"/>
      <c r="E473" s="2"/>
      <c r="F473" s="2"/>
      <c r="G473" s="2"/>
      <c r="H473" s="2"/>
      <c r="J473" s="96"/>
      <c r="K473" s="96"/>
      <c r="M473" s="19"/>
      <c r="N473" s="2"/>
    </row>
    <row r="474" spans="2:14" x14ac:dyDescent="0.25">
      <c r="B474" s="2"/>
      <c r="C474" s="2"/>
      <c r="D474" s="2"/>
      <c r="E474" s="2"/>
      <c r="F474" s="2"/>
      <c r="G474" s="2"/>
      <c r="H474" s="2"/>
      <c r="J474" s="96"/>
      <c r="K474" s="96"/>
      <c r="M474" s="19"/>
      <c r="N474" s="2"/>
    </row>
    <row r="475" spans="2:14" x14ac:dyDescent="0.25">
      <c r="B475" s="2"/>
      <c r="C475" s="2"/>
      <c r="D475" s="2"/>
      <c r="E475" s="2"/>
      <c r="F475" s="2"/>
      <c r="G475" s="2"/>
      <c r="H475" s="2"/>
      <c r="J475" s="96"/>
      <c r="K475" s="96"/>
      <c r="M475" s="19"/>
      <c r="N475" s="2"/>
    </row>
    <row r="476" spans="2:14" x14ac:dyDescent="0.25">
      <c r="B476" s="2"/>
      <c r="C476" s="2"/>
      <c r="D476" s="2"/>
      <c r="E476" s="2"/>
      <c r="F476" s="2"/>
      <c r="G476" s="2"/>
      <c r="H476" s="2"/>
      <c r="J476" s="96"/>
      <c r="K476" s="96"/>
      <c r="M476" s="19"/>
      <c r="N476" s="2"/>
    </row>
    <row r="477" spans="2:14" x14ac:dyDescent="0.25">
      <c r="B477" s="2"/>
      <c r="C477" s="2"/>
      <c r="D477" s="2"/>
      <c r="E477" s="2"/>
      <c r="F477" s="2"/>
      <c r="G477" s="2"/>
      <c r="H477" s="2"/>
      <c r="J477" s="96"/>
      <c r="K477" s="96"/>
      <c r="M477" s="19"/>
      <c r="N477" s="2"/>
    </row>
    <row r="478" spans="2:14" x14ac:dyDescent="0.25">
      <c r="B478" s="2"/>
      <c r="C478" s="2"/>
      <c r="D478" s="2"/>
      <c r="E478" s="2"/>
      <c r="F478" s="2"/>
      <c r="G478" s="2"/>
      <c r="H478" s="2"/>
      <c r="J478" s="96"/>
      <c r="K478" s="96"/>
      <c r="M478" s="19"/>
      <c r="N478" s="2"/>
    </row>
    <row r="479" spans="2:14" x14ac:dyDescent="0.25">
      <c r="B479" s="2"/>
      <c r="C479" s="2"/>
      <c r="D479" s="2"/>
      <c r="E479" s="2"/>
      <c r="F479" s="2"/>
      <c r="G479" s="2"/>
      <c r="H479" s="2"/>
      <c r="J479" s="96"/>
      <c r="K479" s="96"/>
      <c r="M479" s="19"/>
      <c r="N479" s="2"/>
    </row>
    <row r="480" spans="2:14" x14ac:dyDescent="0.25">
      <c r="B480" s="2"/>
      <c r="C480" s="2"/>
      <c r="D480" s="2"/>
      <c r="E480" s="2"/>
      <c r="F480" s="2"/>
      <c r="G480" s="2"/>
      <c r="H480" s="2"/>
      <c r="J480" s="96"/>
      <c r="K480" s="96"/>
      <c r="M480" s="19"/>
      <c r="N480" s="2"/>
    </row>
    <row r="481" spans="2:14" x14ac:dyDescent="0.25">
      <c r="B481" s="2"/>
      <c r="C481" s="2"/>
      <c r="D481" s="2"/>
      <c r="E481" s="2"/>
      <c r="F481" s="2"/>
      <c r="G481" s="2"/>
      <c r="H481" s="2"/>
      <c r="J481" s="96"/>
      <c r="K481" s="96"/>
      <c r="M481" s="19"/>
      <c r="N481" s="2"/>
    </row>
    <row r="482" spans="2:14" x14ac:dyDescent="0.25">
      <c r="B482" s="2"/>
      <c r="C482" s="2"/>
      <c r="D482" s="2"/>
      <c r="E482" s="2"/>
      <c r="F482" s="2"/>
      <c r="G482" s="2"/>
      <c r="H482" s="2"/>
      <c r="J482" s="96"/>
      <c r="K482" s="96"/>
      <c r="M482" s="19"/>
      <c r="N482" s="2"/>
    </row>
    <row r="483" spans="2:14" x14ac:dyDescent="0.25">
      <c r="B483" s="2"/>
      <c r="C483" s="2"/>
      <c r="D483" s="2"/>
      <c r="E483" s="2"/>
      <c r="F483" s="2"/>
      <c r="G483" s="2"/>
      <c r="H483" s="2"/>
      <c r="J483" s="96"/>
      <c r="K483" s="96"/>
      <c r="M483" s="19"/>
      <c r="N483" s="2"/>
    </row>
    <row r="484" spans="2:14" x14ac:dyDescent="0.25">
      <c r="B484" s="2"/>
      <c r="C484" s="2"/>
      <c r="D484" s="2"/>
      <c r="E484" s="2"/>
      <c r="F484" s="2"/>
      <c r="G484" s="2"/>
      <c r="H484" s="2"/>
      <c r="J484" s="96"/>
      <c r="K484" s="96"/>
      <c r="M484" s="19"/>
      <c r="N484" s="2"/>
    </row>
    <row r="485" spans="2:14" x14ac:dyDescent="0.25">
      <c r="B485" s="2"/>
      <c r="C485" s="2"/>
      <c r="D485" s="2"/>
      <c r="E485" s="2"/>
      <c r="F485" s="2"/>
      <c r="G485" s="2"/>
      <c r="H485" s="2"/>
      <c r="J485" s="96"/>
      <c r="K485" s="96"/>
      <c r="M485" s="19"/>
      <c r="N485" s="2"/>
    </row>
    <row r="486" spans="2:14" x14ac:dyDescent="0.25">
      <c r="B486" s="2"/>
      <c r="C486" s="2"/>
      <c r="D486" s="2"/>
      <c r="E486" s="2"/>
      <c r="F486" s="2"/>
      <c r="G486" s="2"/>
      <c r="H486" s="2"/>
      <c r="J486" s="96"/>
      <c r="K486" s="96"/>
      <c r="M486" s="19"/>
      <c r="N486" s="2"/>
    </row>
    <row r="487" spans="2:14" x14ac:dyDescent="0.25">
      <c r="B487" s="2"/>
      <c r="C487" s="2"/>
      <c r="D487" s="2"/>
      <c r="E487" s="2"/>
      <c r="F487" s="2"/>
      <c r="G487" s="2"/>
      <c r="H487" s="2"/>
      <c r="J487" s="96"/>
      <c r="K487" s="96"/>
      <c r="M487" s="19"/>
      <c r="N487" s="2"/>
    </row>
    <row r="488" spans="2:14" x14ac:dyDescent="0.25">
      <c r="B488" s="2"/>
      <c r="C488" s="2"/>
      <c r="D488" s="2"/>
      <c r="E488" s="2"/>
      <c r="F488" s="2"/>
      <c r="G488" s="2"/>
      <c r="H488" s="2"/>
      <c r="J488" s="96"/>
      <c r="K488" s="96"/>
      <c r="M488" s="19"/>
      <c r="N488" s="2"/>
    </row>
    <row r="489" spans="2:14" x14ac:dyDescent="0.25">
      <c r="B489" s="2"/>
      <c r="C489" s="2"/>
      <c r="D489" s="2"/>
      <c r="E489" s="2"/>
      <c r="F489" s="2"/>
      <c r="G489" s="2"/>
      <c r="H489" s="2"/>
      <c r="J489" s="96"/>
      <c r="K489" s="96"/>
      <c r="M489" s="19"/>
      <c r="N489" s="2"/>
    </row>
    <row r="490" spans="2:14" x14ac:dyDescent="0.25">
      <c r="B490" s="2"/>
      <c r="C490" s="2"/>
      <c r="D490" s="2"/>
      <c r="E490" s="2"/>
      <c r="F490" s="2"/>
      <c r="G490" s="2"/>
      <c r="H490" s="2"/>
      <c r="J490" s="96"/>
      <c r="K490" s="96"/>
      <c r="M490" s="19"/>
      <c r="N490" s="2"/>
    </row>
    <row r="491" spans="2:14" x14ac:dyDescent="0.25">
      <c r="B491" s="2"/>
      <c r="C491" s="2"/>
      <c r="D491" s="2"/>
      <c r="E491" s="2"/>
      <c r="F491" s="2"/>
      <c r="G491" s="2"/>
      <c r="H491" s="2"/>
      <c r="J491" s="96"/>
      <c r="K491" s="96"/>
      <c r="M491" s="19"/>
      <c r="N491" s="2"/>
    </row>
    <row r="492" spans="2:14" x14ac:dyDescent="0.25">
      <c r="B492" s="2"/>
      <c r="C492" s="2"/>
      <c r="D492" s="2"/>
      <c r="E492" s="2"/>
      <c r="F492" s="2"/>
      <c r="G492" s="2"/>
      <c r="H492" s="2"/>
      <c r="J492" s="96"/>
      <c r="K492" s="96"/>
      <c r="M492" s="19"/>
      <c r="N492" s="2"/>
    </row>
    <row r="493" spans="2:14" x14ac:dyDescent="0.25">
      <c r="B493" s="2"/>
      <c r="C493" s="2"/>
      <c r="D493" s="2"/>
      <c r="E493" s="2"/>
      <c r="F493" s="2"/>
      <c r="G493" s="2"/>
      <c r="H493" s="2"/>
      <c r="J493" s="96"/>
      <c r="K493" s="96"/>
      <c r="M493" s="19"/>
      <c r="N493" s="2"/>
    </row>
    <row r="494" spans="2:14" x14ac:dyDescent="0.25">
      <c r="B494" s="2"/>
      <c r="C494" s="2"/>
      <c r="D494" s="2"/>
      <c r="E494" s="2"/>
      <c r="F494" s="2"/>
      <c r="G494" s="2"/>
      <c r="H494" s="2"/>
      <c r="J494" s="96"/>
      <c r="K494" s="96"/>
      <c r="M494" s="19"/>
      <c r="N494" s="2"/>
    </row>
    <row r="495" spans="2:14" x14ac:dyDescent="0.25">
      <c r="B495" s="2"/>
      <c r="C495" s="2"/>
      <c r="D495" s="2"/>
      <c r="E495" s="2"/>
      <c r="F495" s="2"/>
      <c r="G495" s="2"/>
      <c r="H495" s="2"/>
      <c r="J495" s="96"/>
      <c r="K495" s="96"/>
      <c r="M495" s="19"/>
      <c r="N495" s="2"/>
    </row>
    <row r="496" spans="2:14" x14ac:dyDescent="0.25">
      <c r="B496" s="2"/>
      <c r="C496" s="2"/>
      <c r="D496" s="2"/>
      <c r="E496" s="2"/>
      <c r="F496" s="2"/>
      <c r="G496" s="2"/>
      <c r="H496" s="2"/>
      <c r="J496" s="96"/>
      <c r="K496" s="96"/>
      <c r="M496" s="19"/>
      <c r="N496" s="2"/>
    </row>
    <row r="497" spans="2:14" x14ac:dyDescent="0.25">
      <c r="B497" s="2"/>
      <c r="C497" s="2"/>
      <c r="D497" s="2"/>
      <c r="E497" s="2"/>
      <c r="F497" s="2"/>
      <c r="G497" s="2"/>
      <c r="H497" s="2"/>
      <c r="J497" s="96"/>
      <c r="K497" s="96"/>
      <c r="M497" s="19"/>
      <c r="N497" s="2"/>
    </row>
    <row r="498" spans="2:14" x14ac:dyDescent="0.25">
      <c r="B498" s="2"/>
      <c r="C498" s="2"/>
      <c r="D498" s="2"/>
      <c r="E498" s="2"/>
      <c r="F498" s="2"/>
      <c r="G498" s="2"/>
      <c r="H498" s="2"/>
      <c r="J498" s="96"/>
      <c r="K498" s="96"/>
      <c r="M498" s="19"/>
      <c r="N498" s="2"/>
    </row>
    <row r="499" spans="2:14" x14ac:dyDescent="0.25">
      <c r="B499" s="2"/>
      <c r="C499" s="2"/>
      <c r="D499" s="2"/>
      <c r="E499" s="2"/>
      <c r="F499" s="2"/>
      <c r="G499" s="2"/>
      <c r="H499" s="2"/>
      <c r="J499" s="96"/>
      <c r="K499" s="96"/>
      <c r="M499" s="19"/>
      <c r="N499" s="2"/>
    </row>
    <row r="500" spans="2:14" x14ac:dyDescent="0.25">
      <c r="B500" s="2"/>
      <c r="C500" s="2"/>
      <c r="D500" s="2"/>
      <c r="E500" s="2"/>
      <c r="F500" s="2"/>
      <c r="G500" s="2"/>
      <c r="H500" s="2"/>
      <c r="J500" s="96"/>
      <c r="K500" s="96"/>
      <c r="M500" s="19"/>
      <c r="N500" s="2"/>
    </row>
    <row r="501" spans="2:14" x14ac:dyDescent="0.25">
      <c r="B501" s="2"/>
      <c r="C501" s="2"/>
      <c r="D501" s="2"/>
      <c r="E501" s="2"/>
      <c r="F501" s="2"/>
      <c r="G501" s="2"/>
      <c r="H501" s="2"/>
      <c r="J501" s="96"/>
      <c r="K501" s="96"/>
      <c r="M501" s="19"/>
      <c r="N501" s="2"/>
    </row>
    <row r="502" spans="2:14" x14ac:dyDescent="0.25">
      <c r="B502" s="2"/>
      <c r="C502" s="2"/>
      <c r="D502" s="2"/>
      <c r="E502" s="2"/>
      <c r="F502" s="2"/>
      <c r="G502" s="2"/>
      <c r="H502" s="2"/>
      <c r="J502" s="96"/>
      <c r="K502" s="96"/>
      <c r="M502" s="19"/>
      <c r="N502" s="2"/>
    </row>
    <row r="503" spans="2:14" x14ac:dyDescent="0.25">
      <c r="B503" s="2"/>
      <c r="C503" s="2"/>
      <c r="D503" s="2"/>
      <c r="E503" s="2"/>
      <c r="F503" s="2"/>
      <c r="G503" s="2"/>
      <c r="H503" s="2"/>
      <c r="J503" s="96"/>
      <c r="K503" s="96"/>
      <c r="M503" s="19"/>
      <c r="N503" s="2"/>
    </row>
    <row r="504" spans="2:14" x14ac:dyDescent="0.25">
      <c r="B504" s="2"/>
      <c r="C504" s="2"/>
      <c r="D504" s="2"/>
      <c r="E504" s="2"/>
      <c r="F504" s="2"/>
      <c r="G504" s="2"/>
      <c r="H504" s="2"/>
      <c r="J504" s="96"/>
      <c r="K504" s="96"/>
      <c r="M504" s="19"/>
      <c r="N504" s="2"/>
    </row>
    <row r="505" spans="2:14" x14ac:dyDescent="0.25">
      <c r="B505" s="2"/>
      <c r="C505" s="2"/>
      <c r="D505" s="2"/>
      <c r="E505" s="2"/>
      <c r="F505" s="2"/>
      <c r="G505" s="2"/>
      <c r="H505" s="2"/>
      <c r="J505" s="96"/>
      <c r="K505" s="96"/>
      <c r="M505" s="19"/>
      <c r="N505" s="2"/>
    </row>
    <row r="506" spans="2:14" x14ac:dyDescent="0.25">
      <c r="B506" s="2"/>
      <c r="C506" s="2"/>
      <c r="D506" s="2"/>
      <c r="E506" s="2"/>
      <c r="F506" s="2"/>
      <c r="G506" s="2"/>
      <c r="H506" s="2"/>
      <c r="J506" s="96"/>
      <c r="K506" s="96"/>
      <c r="M506" s="19"/>
      <c r="N506" s="2"/>
    </row>
    <row r="507" spans="2:14" x14ac:dyDescent="0.25">
      <c r="B507" s="2"/>
      <c r="C507" s="2"/>
      <c r="D507" s="2"/>
      <c r="E507" s="2"/>
      <c r="F507" s="2"/>
      <c r="G507" s="2"/>
      <c r="H507" s="2"/>
      <c r="J507" s="96"/>
      <c r="K507" s="96"/>
      <c r="M507" s="19"/>
      <c r="N507" s="2"/>
    </row>
    <row r="508" spans="2:14" x14ac:dyDescent="0.25">
      <c r="B508" s="2"/>
      <c r="C508" s="2"/>
      <c r="D508" s="2"/>
      <c r="E508" s="2"/>
      <c r="F508" s="2"/>
      <c r="G508" s="2"/>
      <c r="H508" s="2"/>
      <c r="J508" s="96"/>
      <c r="K508" s="96"/>
      <c r="M508" s="19"/>
      <c r="N508" s="2"/>
    </row>
    <row r="509" spans="2:14" x14ac:dyDescent="0.25">
      <c r="B509" s="2"/>
      <c r="C509" s="2"/>
      <c r="D509" s="2"/>
      <c r="E509" s="2"/>
      <c r="F509" s="2"/>
      <c r="G509" s="2"/>
      <c r="H509" s="2"/>
      <c r="J509" s="96"/>
      <c r="K509" s="96"/>
      <c r="M509" s="19"/>
      <c r="N509" s="2"/>
    </row>
    <row r="510" spans="2:14" x14ac:dyDescent="0.25">
      <c r="B510" s="2"/>
      <c r="C510" s="2"/>
      <c r="D510" s="2"/>
      <c r="E510" s="2"/>
      <c r="F510" s="2"/>
      <c r="G510" s="2"/>
      <c r="H510" s="2"/>
      <c r="J510" s="96"/>
      <c r="K510" s="96"/>
      <c r="M510" s="19"/>
      <c r="N510" s="2"/>
    </row>
    <row r="511" spans="2:14" x14ac:dyDescent="0.25">
      <c r="B511" s="2"/>
      <c r="C511" s="2"/>
      <c r="D511" s="2"/>
      <c r="E511" s="2"/>
      <c r="F511" s="2"/>
      <c r="G511" s="2"/>
      <c r="H511" s="2"/>
      <c r="J511" s="96"/>
      <c r="K511" s="96"/>
      <c r="M511" s="19"/>
      <c r="N511" s="2"/>
    </row>
    <row r="512" spans="2:14" x14ac:dyDescent="0.25">
      <c r="B512" s="2"/>
      <c r="C512" s="2"/>
      <c r="D512" s="2"/>
      <c r="E512" s="2"/>
      <c r="F512" s="2"/>
      <c r="G512" s="2"/>
      <c r="H512" s="2"/>
      <c r="J512" s="96"/>
      <c r="K512" s="96"/>
      <c r="M512" s="19"/>
      <c r="N512" s="2"/>
    </row>
    <row r="513" spans="2:14" x14ac:dyDescent="0.25">
      <c r="B513" s="2"/>
      <c r="C513" s="2"/>
      <c r="D513" s="2"/>
      <c r="E513" s="2"/>
      <c r="F513" s="2"/>
      <c r="G513" s="2"/>
      <c r="H513" s="2"/>
      <c r="J513" s="96"/>
      <c r="K513" s="96"/>
      <c r="M513" s="19"/>
      <c r="N513" s="2"/>
    </row>
    <row r="514" spans="2:14" x14ac:dyDescent="0.25">
      <c r="B514" s="2"/>
      <c r="C514" s="2"/>
      <c r="D514" s="2"/>
      <c r="E514" s="2"/>
      <c r="F514" s="2"/>
      <c r="G514" s="2"/>
      <c r="H514" s="2"/>
      <c r="J514" s="96"/>
      <c r="K514" s="96"/>
      <c r="M514" s="19"/>
      <c r="N514" s="2"/>
    </row>
    <row r="515" spans="2:14" x14ac:dyDescent="0.25">
      <c r="B515" s="2"/>
      <c r="C515" s="2"/>
      <c r="D515" s="2"/>
      <c r="E515" s="2"/>
      <c r="F515" s="2"/>
      <c r="G515" s="2"/>
      <c r="H515" s="2"/>
      <c r="J515" s="96"/>
      <c r="K515" s="96"/>
      <c r="M515" s="19"/>
      <c r="N515" s="2"/>
    </row>
    <row r="516" spans="2:14" x14ac:dyDescent="0.25">
      <c r="B516" s="2"/>
      <c r="C516" s="2"/>
      <c r="D516" s="2"/>
      <c r="E516" s="2"/>
      <c r="F516" s="2"/>
      <c r="G516" s="2"/>
      <c r="H516" s="2"/>
      <c r="J516" s="96"/>
      <c r="K516" s="96"/>
      <c r="M516" s="19"/>
      <c r="N516" s="2"/>
    </row>
    <row r="517" spans="2:14" x14ac:dyDescent="0.25">
      <c r="B517" s="2"/>
      <c r="C517" s="2"/>
      <c r="D517" s="2"/>
      <c r="E517" s="2"/>
      <c r="F517" s="2"/>
      <c r="G517" s="2"/>
      <c r="H517" s="2"/>
      <c r="J517" s="96"/>
      <c r="K517" s="96"/>
      <c r="M517" s="19"/>
      <c r="N517" s="2"/>
    </row>
    <row r="518" spans="2:14" x14ac:dyDescent="0.25">
      <c r="B518" s="2"/>
      <c r="C518" s="2"/>
      <c r="D518" s="2"/>
      <c r="E518" s="2"/>
      <c r="F518" s="2"/>
      <c r="G518" s="2"/>
      <c r="H518" s="2"/>
      <c r="J518" s="96"/>
      <c r="K518" s="96"/>
      <c r="M518" s="19"/>
      <c r="N518" s="2"/>
    </row>
    <row r="519" spans="2:14" x14ac:dyDescent="0.25">
      <c r="B519" s="2"/>
      <c r="C519" s="2"/>
      <c r="D519" s="2"/>
      <c r="E519" s="2"/>
      <c r="F519" s="2"/>
      <c r="G519" s="2"/>
      <c r="H519" s="2"/>
      <c r="J519" s="96"/>
      <c r="K519" s="96"/>
      <c r="M519" s="19"/>
      <c r="N519" s="2"/>
    </row>
    <row r="520" spans="2:14" x14ac:dyDescent="0.25">
      <c r="B520" s="2"/>
      <c r="C520" s="2"/>
      <c r="D520" s="2"/>
      <c r="E520" s="2"/>
      <c r="F520" s="2"/>
      <c r="G520" s="2"/>
      <c r="H520" s="2"/>
      <c r="J520" s="96"/>
      <c r="K520" s="96"/>
      <c r="M520" s="19"/>
      <c r="N520" s="2"/>
    </row>
    <row r="521" spans="2:14" x14ac:dyDescent="0.25">
      <c r="B521" s="2"/>
      <c r="C521" s="2"/>
      <c r="D521" s="2"/>
      <c r="E521" s="2"/>
      <c r="F521" s="2"/>
      <c r="G521" s="2"/>
      <c r="H521" s="2"/>
      <c r="J521" s="96"/>
      <c r="K521" s="96"/>
      <c r="M521" s="19"/>
      <c r="N521" s="2"/>
    </row>
    <row r="522" spans="2:14" x14ac:dyDescent="0.25">
      <c r="B522" s="2"/>
      <c r="C522" s="2"/>
      <c r="D522" s="2"/>
      <c r="E522" s="2"/>
      <c r="F522" s="2"/>
      <c r="G522" s="2"/>
      <c r="H522" s="2"/>
      <c r="J522" s="96"/>
      <c r="K522" s="96"/>
      <c r="M522" s="19"/>
      <c r="N522" s="2"/>
    </row>
    <row r="523" spans="2:14" x14ac:dyDescent="0.25">
      <c r="B523" s="2"/>
      <c r="C523" s="2"/>
      <c r="D523" s="2"/>
      <c r="E523" s="2"/>
      <c r="F523" s="2"/>
      <c r="G523" s="2"/>
      <c r="H523" s="2"/>
      <c r="J523" s="96"/>
      <c r="K523" s="96"/>
      <c r="M523" s="19"/>
      <c r="N523" s="2"/>
    </row>
    <row r="524" spans="2:14" x14ac:dyDescent="0.25">
      <c r="B524" s="2"/>
      <c r="C524" s="2"/>
      <c r="D524" s="2"/>
      <c r="E524" s="2"/>
      <c r="F524" s="2"/>
      <c r="G524" s="2"/>
      <c r="H524" s="2"/>
      <c r="J524" s="96"/>
      <c r="K524" s="96"/>
      <c r="M524" s="19"/>
      <c r="N524" s="2"/>
    </row>
    <row r="525" spans="2:14" x14ac:dyDescent="0.25">
      <c r="B525" s="2"/>
      <c r="C525" s="2"/>
      <c r="D525" s="2"/>
      <c r="E525" s="2"/>
      <c r="F525" s="2"/>
      <c r="G525" s="2"/>
      <c r="H525" s="2"/>
      <c r="J525" s="96"/>
      <c r="K525" s="96"/>
      <c r="M525" s="19"/>
      <c r="N525" s="2"/>
    </row>
    <row r="526" spans="2:14" x14ac:dyDescent="0.25">
      <c r="B526" s="2"/>
      <c r="C526" s="2"/>
      <c r="D526" s="2"/>
      <c r="E526" s="2"/>
      <c r="F526" s="2"/>
      <c r="G526" s="2"/>
      <c r="H526" s="2"/>
      <c r="J526" s="96"/>
      <c r="K526" s="96"/>
      <c r="M526" s="19"/>
      <c r="N526" s="2"/>
    </row>
    <row r="527" spans="2:14" x14ac:dyDescent="0.25">
      <c r="B527" s="2"/>
      <c r="C527" s="2"/>
      <c r="D527" s="2"/>
      <c r="E527" s="2"/>
      <c r="F527" s="2"/>
      <c r="G527" s="2"/>
      <c r="H527" s="2"/>
      <c r="J527" s="96"/>
      <c r="K527" s="96"/>
      <c r="M527" s="19"/>
      <c r="N527" s="2"/>
    </row>
    <row r="528" spans="2:14" x14ac:dyDescent="0.25">
      <c r="B528" s="2"/>
      <c r="C528" s="2"/>
      <c r="D528" s="2"/>
      <c r="E528" s="2"/>
      <c r="F528" s="2"/>
      <c r="G528" s="2"/>
      <c r="H528" s="2"/>
      <c r="J528" s="96"/>
      <c r="K528" s="96"/>
      <c r="M528" s="19"/>
      <c r="N528" s="2"/>
    </row>
    <row r="529" spans="2:14" x14ac:dyDescent="0.25">
      <c r="B529" s="2"/>
      <c r="C529" s="2"/>
      <c r="D529" s="2"/>
      <c r="E529" s="2"/>
      <c r="F529" s="2"/>
      <c r="G529" s="2"/>
      <c r="H529" s="2"/>
      <c r="J529" s="96"/>
      <c r="K529" s="96"/>
      <c r="M529" s="19"/>
      <c r="N529" s="2"/>
    </row>
    <row r="530" spans="2:14" x14ac:dyDescent="0.25">
      <c r="B530" s="2"/>
      <c r="C530" s="2"/>
      <c r="D530" s="2"/>
      <c r="E530" s="2"/>
      <c r="F530" s="2"/>
      <c r="G530" s="2"/>
      <c r="H530" s="2"/>
      <c r="J530" s="96"/>
      <c r="K530" s="96"/>
      <c r="M530" s="19"/>
      <c r="N530" s="2"/>
    </row>
    <row r="531" spans="2:14" x14ac:dyDescent="0.25">
      <c r="B531" s="2"/>
      <c r="C531" s="2"/>
      <c r="D531" s="2"/>
      <c r="E531" s="2"/>
      <c r="F531" s="2"/>
      <c r="G531" s="2"/>
      <c r="H531" s="2"/>
      <c r="J531" s="96"/>
      <c r="K531" s="96"/>
      <c r="M531" s="19"/>
      <c r="N531" s="2"/>
    </row>
    <row r="532" spans="2:14" x14ac:dyDescent="0.25">
      <c r="B532" s="2"/>
      <c r="C532" s="2"/>
      <c r="D532" s="2"/>
      <c r="E532" s="2"/>
      <c r="F532" s="2"/>
      <c r="G532" s="2"/>
      <c r="H532" s="2"/>
      <c r="J532" s="96"/>
      <c r="K532" s="96"/>
      <c r="M532" s="19"/>
      <c r="N532" s="2"/>
    </row>
    <row r="533" spans="2:14" x14ac:dyDescent="0.25">
      <c r="B533" s="2"/>
      <c r="C533" s="2"/>
      <c r="D533" s="2"/>
      <c r="E533" s="2"/>
      <c r="F533" s="2"/>
      <c r="G533" s="2"/>
      <c r="H533" s="2"/>
      <c r="J533" s="96"/>
      <c r="K533" s="96"/>
      <c r="M533" s="19"/>
      <c r="N533" s="2"/>
    </row>
    <row r="534" spans="2:14" x14ac:dyDescent="0.25">
      <c r="B534" s="2"/>
      <c r="C534" s="2"/>
      <c r="D534" s="2"/>
      <c r="E534" s="2"/>
      <c r="F534" s="2"/>
      <c r="G534" s="2"/>
      <c r="H534" s="2"/>
      <c r="J534" s="96"/>
      <c r="K534" s="96"/>
      <c r="M534" s="19"/>
      <c r="N534" s="2"/>
    </row>
    <row r="535" spans="2:14" x14ac:dyDescent="0.25">
      <c r="B535" s="2"/>
      <c r="C535" s="2"/>
      <c r="D535" s="2"/>
      <c r="E535" s="2"/>
      <c r="F535" s="2"/>
      <c r="G535" s="2"/>
      <c r="H535" s="2"/>
      <c r="J535" s="96"/>
      <c r="K535" s="96"/>
      <c r="M535" s="19"/>
      <c r="N535" s="2"/>
    </row>
    <row r="536" spans="2:14" x14ac:dyDescent="0.25">
      <c r="B536" s="2"/>
      <c r="C536" s="2"/>
      <c r="D536" s="2"/>
      <c r="E536" s="2"/>
      <c r="F536" s="2"/>
      <c r="G536" s="2"/>
      <c r="H536" s="2"/>
      <c r="J536" s="96"/>
      <c r="K536" s="96"/>
      <c r="M536" s="19"/>
      <c r="N536" s="2"/>
    </row>
    <row r="537" spans="2:14" x14ac:dyDescent="0.25">
      <c r="B537" s="2"/>
      <c r="C537" s="2"/>
      <c r="D537" s="2"/>
      <c r="E537" s="2"/>
      <c r="F537" s="2"/>
      <c r="G537" s="2"/>
      <c r="H537" s="2"/>
      <c r="J537" s="96"/>
      <c r="K537" s="96"/>
      <c r="M537" s="19"/>
      <c r="N537" s="2"/>
    </row>
    <row r="538" spans="2:14" x14ac:dyDescent="0.25">
      <c r="B538" s="2"/>
      <c r="C538" s="2"/>
      <c r="D538" s="2"/>
      <c r="E538" s="2"/>
      <c r="F538" s="2"/>
      <c r="G538" s="2"/>
      <c r="H538" s="2"/>
      <c r="J538" s="96"/>
      <c r="K538" s="96"/>
      <c r="M538" s="19"/>
      <c r="N538" s="2"/>
    </row>
    <row r="539" spans="2:14" x14ac:dyDescent="0.25">
      <c r="B539" s="2"/>
      <c r="C539" s="2"/>
      <c r="D539" s="2"/>
      <c r="E539" s="2"/>
      <c r="F539" s="2"/>
      <c r="G539" s="2"/>
      <c r="H539" s="2"/>
      <c r="J539" s="96"/>
      <c r="K539" s="96"/>
      <c r="M539" s="19"/>
      <c r="N539" s="2"/>
    </row>
    <row r="540" spans="2:14" x14ac:dyDescent="0.25">
      <c r="B540" s="2"/>
      <c r="C540" s="2"/>
      <c r="D540" s="2"/>
      <c r="E540" s="2"/>
      <c r="F540" s="2"/>
      <c r="G540" s="2"/>
      <c r="H540" s="2"/>
      <c r="J540" s="96"/>
      <c r="K540" s="96"/>
      <c r="M540" s="19"/>
      <c r="N540" s="2"/>
    </row>
    <row r="541" spans="2:14" x14ac:dyDescent="0.25">
      <c r="B541" s="2"/>
      <c r="C541" s="2"/>
      <c r="D541" s="2"/>
      <c r="E541" s="2"/>
      <c r="F541" s="2"/>
      <c r="G541" s="2"/>
      <c r="H541" s="2"/>
      <c r="J541" s="96"/>
      <c r="K541" s="96"/>
      <c r="M541" s="19"/>
      <c r="N541" s="2"/>
    </row>
    <row r="542" spans="2:14" x14ac:dyDescent="0.25">
      <c r="B542" s="2"/>
      <c r="C542" s="2"/>
      <c r="D542" s="2"/>
      <c r="E542" s="2"/>
      <c r="F542" s="2"/>
      <c r="G542" s="2"/>
      <c r="H542" s="2"/>
      <c r="J542" s="96"/>
      <c r="K542" s="96"/>
      <c r="M542" s="19"/>
      <c r="N542" s="2"/>
    </row>
    <row r="543" spans="2:14" x14ac:dyDescent="0.25">
      <c r="B543" s="2"/>
      <c r="C543" s="2"/>
      <c r="D543" s="2"/>
      <c r="E543" s="2"/>
      <c r="F543" s="2"/>
      <c r="G543" s="2"/>
      <c r="H543" s="2"/>
      <c r="J543" s="96"/>
      <c r="K543" s="96"/>
      <c r="M543" s="19"/>
      <c r="N543" s="2"/>
    </row>
    <row r="544" spans="2:14" x14ac:dyDescent="0.25">
      <c r="B544" s="2"/>
      <c r="C544" s="2"/>
      <c r="D544" s="2"/>
      <c r="E544" s="2"/>
      <c r="F544" s="2"/>
      <c r="G544" s="2"/>
      <c r="H544" s="2"/>
      <c r="J544" s="96"/>
      <c r="K544" s="96"/>
      <c r="M544" s="19"/>
      <c r="N544" s="2"/>
    </row>
    <row r="545" spans="2:14" x14ac:dyDescent="0.25">
      <c r="B545" s="2"/>
      <c r="C545" s="2"/>
      <c r="D545" s="2"/>
      <c r="E545" s="2"/>
      <c r="F545" s="2"/>
      <c r="G545" s="2"/>
      <c r="H545" s="2"/>
      <c r="J545" s="96"/>
      <c r="K545" s="96"/>
      <c r="M545" s="19"/>
      <c r="N545" s="2"/>
    </row>
    <row r="546" spans="2:14" x14ac:dyDescent="0.25">
      <c r="B546" s="2"/>
      <c r="C546" s="2"/>
      <c r="D546" s="2"/>
      <c r="E546" s="2"/>
      <c r="F546" s="2"/>
      <c r="G546" s="2"/>
      <c r="H546" s="2"/>
      <c r="J546" s="96"/>
      <c r="K546" s="96"/>
      <c r="M546" s="19"/>
      <c r="N546" s="2"/>
    </row>
    <row r="547" spans="2:14" x14ac:dyDescent="0.25">
      <c r="B547" s="2"/>
      <c r="C547" s="2"/>
      <c r="D547" s="2"/>
      <c r="E547" s="2"/>
      <c r="F547" s="2"/>
      <c r="G547" s="2"/>
      <c r="H547" s="2"/>
      <c r="J547" s="96"/>
      <c r="K547" s="96"/>
      <c r="M547" s="19"/>
      <c r="N547" s="2"/>
    </row>
    <row r="548" spans="2:14" x14ac:dyDescent="0.25">
      <c r="B548" s="2"/>
      <c r="C548" s="2"/>
      <c r="D548" s="2"/>
      <c r="E548" s="2"/>
      <c r="F548" s="2"/>
      <c r="G548" s="2"/>
      <c r="H548" s="2"/>
      <c r="J548" s="96"/>
      <c r="K548" s="96"/>
      <c r="M548" s="19"/>
      <c r="N548" s="2"/>
    </row>
    <row r="549" spans="2:14" x14ac:dyDescent="0.25">
      <c r="B549" s="2"/>
      <c r="C549" s="2"/>
      <c r="D549" s="2"/>
      <c r="E549" s="2"/>
      <c r="F549" s="2"/>
      <c r="G549" s="2"/>
      <c r="H549" s="2"/>
      <c r="J549" s="96"/>
      <c r="K549" s="96"/>
      <c r="M549" s="19"/>
      <c r="N549" s="2"/>
    </row>
    <row r="550" spans="2:14" x14ac:dyDescent="0.25">
      <c r="B550" s="2"/>
      <c r="C550" s="2"/>
      <c r="D550" s="2"/>
      <c r="E550" s="2"/>
      <c r="F550" s="2"/>
      <c r="G550" s="2"/>
      <c r="H550" s="2"/>
      <c r="J550" s="96"/>
      <c r="K550" s="96"/>
      <c r="M550" s="19"/>
      <c r="N550" s="2"/>
    </row>
    <row r="551" spans="2:14" x14ac:dyDescent="0.25">
      <c r="B551" s="2"/>
      <c r="C551" s="2"/>
      <c r="D551" s="2"/>
      <c r="E551" s="2"/>
      <c r="F551" s="2"/>
      <c r="G551" s="2"/>
      <c r="H551" s="2"/>
      <c r="J551" s="96"/>
      <c r="K551" s="96"/>
      <c r="M551" s="19"/>
      <c r="N551" s="2"/>
    </row>
    <row r="552" spans="2:14" x14ac:dyDescent="0.25">
      <c r="B552" s="2"/>
      <c r="C552" s="2"/>
      <c r="D552" s="2"/>
      <c r="E552" s="2"/>
      <c r="F552" s="2"/>
      <c r="G552" s="2"/>
      <c r="H552" s="2"/>
      <c r="J552" s="96"/>
      <c r="K552" s="96"/>
      <c r="M552" s="19"/>
      <c r="N552" s="2"/>
    </row>
    <row r="553" spans="2:14" x14ac:dyDescent="0.25">
      <c r="B553" s="2"/>
      <c r="C553" s="2"/>
      <c r="D553" s="2"/>
      <c r="E553" s="2"/>
      <c r="F553" s="2"/>
      <c r="G553" s="2"/>
      <c r="H553" s="2"/>
      <c r="J553" s="96"/>
      <c r="K553" s="96"/>
      <c r="M553" s="19"/>
      <c r="N553" s="2"/>
    </row>
    <row r="554" spans="2:14" x14ac:dyDescent="0.25">
      <c r="B554" s="2"/>
      <c r="C554" s="2"/>
      <c r="D554" s="2"/>
      <c r="E554" s="2"/>
      <c r="F554" s="2"/>
      <c r="G554" s="2"/>
      <c r="H554" s="2"/>
      <c r="J554" s="96"/>
      <c r="K554" s="96"/>
      <c r="M554" s="19"/>
      <c r="N554" s="2"/>
    </row>
    <row r="555" spans="2:14" x14ac:dyDescent="0.25">
      <c r="B555" s="2"/>
      <c r="C555" s="2"/>
      <c r="D555" s="2"/>
      <c r="E555" s="2"/>
      <c r="F555" s="2"/>
      <c r="G555" s="2"/>
      <c r="H555" s="2"/>
      <c r="J555" s="96"/>
      <c r="K555" s="96"/>
      <c r="M555" s="19"/>
      <c r="N555" s="2"/>
    </row>
    <row r="556" spans="2:14" x14ac:dyDescent="0.25">
      <c r="B556" s="2"/>
      <c r="C556" s="2"/>
      <c r="D556" s="2"/>
      <c r="E556" s="2"/>
      <c r="F556" s="2"/>
      <c r="G556" s="2"/>
      <c r="H556" s="2"/>
      <c r="J556" s="96"/>
      <c r="K556" s="96"/>
      <c r="M556" s="19"/>
      <c r="N556" s="2"/>
    </row>
    <row r="557" spans="2:14" x14ac:dyDescent="0.25">
      <c r="B557" s="2"/>
      <c r="C557" s="2"/>
      <c r="D557" s="2"/>
      <c r="E557" s="2"/>
      <c r="F557" s="2"/>
      <c r="G557" s="2"/>
      <c r="H557" s="2"/>
      <c r="J557" s="96"/>
      <c r="K557" s="96"/>
      <c r="M557" s="19"/>
      <c r="N557" s="2"/>
    </row>
    <row r="558" spans="2:14" x14ac:dyDescent="0.25">
      <c r="B558" s="2"/>
      <c r="C558" s="2"/>
      <c r="D558" s="2"/>
      <c r="E558" s="2"/>
      <c r="F558" s="2"/>
      <c r="G558" s="2"/>
      <c r="H558" s="2"/>
      <c r="J558" s="96"/>
      <c r="K558" s="96"/>
      <c r="M558" s="19"/>
      <c r="N558" s="2"/>
    </row>
    <row r="559" spans="2:14" x14ac:dyDescent="0.25">
      <c r="B559" s="2"/>
      <c r="C559" s="2"/>
      <c r="D559" s="2"/>
      <c r="E559" s="2"/>
      <c r="F559" s="2"/>
      <c r="G559" s="2"/>
      <c r="H559" s="2"/>
      <c r="J559" s="96"/>
      <c r="K559" s="96"/>
      <c r="M559" s="19"/>
      <c r="N559" s="2"/>
    </row>
    <row r="560" spans="2:14" x14ac:dyDescent="0.25">
      <c r="B560" s="2"/>
      <c r="C560" s="2"/>
      <c r="D560" s="2"/>
      <c r="E560" s="2"/>
      <c r="F560" s="2"/>
      <c r="G560" s="2"/>
      <c r="H560" s="2"/>
      <c r="J560" s="96"/>
      <c r="K560" s="96"/>
      <c r="M560" s="19"/>
      <c r="N560" s="2"/>
    </row>
    <row r="561" spans="2:14" x14ac:dyDescent="0.25">
      <c r="B561" s="2"/>
      <c r="C561" s="2"/>
      <c r="D561" s="2"/>
      <c r="E561" s="2"/>
      <c r="F561" s="2"/>
      <c r="G561" s="2"/>
      <c r="H561" s="2"/>
      <c r="J561" s="96"/>
      <c r="K561" s="96"/>
      <c r="M561" s="19"/>
      <c r="N561" s="2"/>
    </row>
    <row r="562" spans="2:14" x14ac:dyDescent="0.25">
      <c r="B562" s="2"/>
      <c r="C562" s="2"/>
      <c r="D562" s="2"/>
      <c r="E562" s="2"/>
      <c r="F562" s="2"/>
      <c r="G562" s="2"/>
      <c r="H562" s="2"/>
      <c r="J562" s="96"/>
      <c r="K562" s="96"/>
      <c r="M562" s="19"/>
      <c r="N562" s="2"/>
    </row>
    <row r="563" spans="2:14" x14ac:dyDescent="0.25">
      <c r="B563" s="2"/>
      <c r="C563" s="2"/>
      <c r="D563" s="2"/>
      <c r="E563" s="2"/>
      <c r="F563" s="2"/>
      <c r="G563" s="2"/>
      <c r="H563" s="2"/>
      <c r="J563" s="96"/>
      <c r="K563" s="96"/>
      <c r="M563" s="19"/>
      <c r="N563" s="2"/>
    </row>
    <row r="564" spans="2:14" x14ac:dyDescent="0.25">
      <c r="B564" s="2"/>
      <c r="C564" s="2"/>
      <c r="D564" s="2"/>
      <c r="E564" s="2"/>
      <c r="F564" s="2"/>
      <c r="G564" s="2"/>
      <c r="H564" s="2"/>
      <c r="J564" s="96"/>
      <c r="K564" s="96"/>
      <c r="M564" s="19"/>
      <c r="N564" s="2"/>
    </row>
    <row r="565" spans="2:14" x14ac:dyDescent="0.25">
      <c r="B565" s="2"/>
      <c r="C565" s="2"/>
      <c r="D565" s="2"/>
      <c r="E565" s="2"/>
      <c r="F565" s="2"/>
      <c r="G565" s="2"/>
      <c r="H565" s="2"/>
      <c r="J565" s="96"/>
      <c r="K565" s="96"/>
      <c r="M565" s="19"/>
      <c r="N565" s="2"/>
    </row>
    <row r="566" spans="2:14" x14ac:dyDescent="0.25">
      <c r="B566" s="2"/>
      <c r="C566" s="2"/>
      <c r="D566" s="2"/>
      <c r="E566" s="2"/>
      <c r="F566" s="2"/>
      <c r="G566" s="2"/>
      <c r="H566" s="2"/>
      <c r="J566" s="96"/>
      <c r="K566" s="96"/>
      <c r="M566" s="19"/>
      <c r="N566" s="2"/>
    </row>
    <row r="567" spans="2:14" x14ac:dyDescent="0.25">
      <c r="B567" s="2"/>
      <c r="C567" s="2"/>
      <c r="D567" s="2"/>
      <c r="E567" s="2"/>
      <c r="F567" s="2"/>
      <c r="G567" s="2"/>
      <c r="H567" s="2"/>
      <c r="J567" s="96"/>
      <c r="K567" s="96"/>
      <c r="M567" s="19"/>
      <c r="N567" s="2"/>
    </row>
    <row r="568" spans="2:14" x14ac:dyDescent="0.25">
      <c r="B568" s="2"/>
      <c r="C568" s="2"/>
      <c r="D568" s="2"/>
      <c r="E568" s="2"/>
      <c r="F568" s="2"/>
      <c r="G568" s="2"/>
      <c r="H568" s="2"/>
      <c r="J568" s="96"/>
      <c r="K568" s="96"/>
      <c r="M568" s="19"/>
      <c r="N568" s="2"/>
    </row>
    <row r="569" spans="2:14" x14ac:dyDescent="0.25">
      <c r="B569" s="2"/>
      <c r="C569" s="2"/>
      <c r="D569" s="2"/>
      <c r="E569" s="2"/>
      <c r="F569" s="2"/>
      <c r="G569" s="2"/>
      <c r="H569" s="2"/>
      <c r="J569" s="96"/>
      <c r="K569" s="96"/>
      <c r="M569" s="19"/>
      <c r="N569" s="2"/>
    </row>
    <row r="570" spans="2:14" x14ac:dyDescent="0.25">
      <c r="B570" s="2"/>
      <c r="C570" s="2"/>
      <c r="D570" s="2"/>
      <c r="E570" s="2"/>
      <c r="F570" s="2"/>
      <c r="G570" s="2"/>
      <c r="H570" s="2"/>
      <c r="J570" s="96"/>
      <c r="K570" s="96"/>
      <c r="M570" s="19"/>
      <c r="N570" s="2"/>
    </row>
    <row r="571" spans="2:14" x14ac:dyDescent="0.25">
      <c r="B571" s="2"/>
      <c r="C571" s="2"/>
      <c r="D571" s="2"/>
      <c r="E571" s="2"/>
      <c r="F571" s="2"/>
      <c r="G571" s="2"/>
      <c r="H571" s="2"/>
      <c r="J571" s="96"/>
      <c r="K571" s="96"/>
      <c r="M571" s="19"/>
      <c r="N571" s="2"/>
    </row>
    <row r="572" spans="2:14" x14ac:dyDescent="0.25">
      <c r="B572" s="2"/>
      <c r="C572" s="2"/>
      <c r="D572" s="2"/>
      <c r="E572" s="2"/>
      <c r="F572" s="2"/>
      <c r="G572" s="2"/>
      <c r="H572" s="2"/>
      <c r="J572" s="96"/>
      <c r="K572" s="96"/>
      <c r="M572" s="19"/>
      <c r="N572" s="2"/>
    </row>
    <row r="573" spans="2:14" x14ac:dyDescent="0.25">
      <c r="B573" s="2"/>
      <c r="C573" s="2"/>
      <c r="D573" s="2"/>
      <c r="E573" s="2"/>
      <c r="F573" s="2"/>
      <c r="G573" s="2"/>
      <c r="H573" s="2"/>
      <c r="J573" s="96"/>
      <c r="K573" s="96"/>
      <c r="M573" s="19"/>
      <c r="N573" s="2"/>
    </row>
    <row r="574" spans="2:14" x14ac:dyDescent="0.25">
      <c r="B574" s="2"/>
      <c r="C574" s="2"/>
      <c r="D574" s="2"/>
      <c r="E574" s="2"/>
      <c r="F574" s="2"/>
      <c r="G574" s="2"/>
      <c r="H574" s="2"/>
      <c r="J574" s="96"/>
      <c r="K574" s="96"/>
      <c r="M574" s="19"/>
      <c r="N574" s="2"/>
    </row>
    <row r="575" spans="2:14" x14ac:dyDescent="0.25">
      <c r="B575" s="2"/>
      <c r="C575" s="2"/>
      <c r="D575" s="2"/>
      <c r="E575" s="2"/>
      <c r="F575" s="2"/>
      <c r="G575" s="2"/>
      <c r="H575" s="2"/>
      <c r="J575" s="96"/>
      <c r="K575" s="96"/>
      <c r="M575" s="19"/>
      <c r="N575" s="2"/>
    </row>
    <row r="576" spans="2:14" x14ac:dyDescent="0.25">
      <c r="B576" s="2"/>
      <c r="C576" s="2"/>
      <c r="D576" s="2"/>
      <c r="E576" s="2"/>
      <c r="F576" s="2"/>
      <c r="G576" s="2"/>
      <c r="H576" s="2"/>
      <c r="J576" s="96"/>
      <c r="K576" s="96"/>
      <c r="M576" s="19"/>
      <c r="N576" s="2"/>
    </row>
    <row r="577" spans="2:14" x14ac:dyDescent="0.25">
      <c r="B577" s="2"/>
      <c r="C577" s="2"/>
      <c r="D577" s="2"/>
      <c r="E577" s="2"/>
      <c r="F577" s="2"/>
      <c r="G577" s="2"/>
      <c r="H577" s="2"/>
      <c r="J577" s="96"/>
      <c r="K577" s="96"/>
      <c r="M577" s="19"/>
      <c r="N577" s="2"/>
    </row>
    <row r="578" spans="2:14" x14ac:dyDescent="0.25">
      <c r="B578" s="2"/>
      <c r="C578" s="2"/>
      <c r="D578" s="2"/>
      <c r="E578" s="2"/>
      <c r="F578" s="2"/>
      <c r="G578" s="2"/>
      <c r="H578" s="2"/>
      <c r="J578" s="96"/>
      <c r="K578" s="96"/>
      <c r="M578" s="19"/>
      <c r="N578" s="2"/>
    </row>
    <row r="579" spans="2:14" x14ac:dyDescent="0.25">
      <c r="B579" s="2"/>
      <c r="C579" s="2"/>
      <c r="D579" s="2"/>
      <c r="E579" s="2"/>
      <c r="F579" s="2"/>
      <c r="G579" s="2"/>
      <c r="H579" s="2"/>
      <c r="J579" s="96"/>
      <c r="K579" s="96"/>
      <c r="M579" s="19"/>
      <c r="N579" s="2"/>
    </row>
    <row r="580" spans="2:14" x14ac:dyDescent="0.25">
      <c r="B580" s="2"/>
      <c r="C580" s="2"/>
      <c r="D580" s="2"/>
      <c r="E580" s="2"/>
      <c r="F580" s="2"/>
      <c r="G580" s="2"/>
      <c r="H580" s="2"/>
      <c r="J580" s="96"/>
      <c r="K580" s="96"/>
      <c r="M580" s="19"/>
      <c r="N580" s="2"/>
    </row>
    <row r="581" spans="2:14" x14ac:dyDescent="0.25">
      <c r="B581" s="2"/>
      <c r="C581" s="2"/>
      <c r="D581" s="2"/>
      <c r="E581" s="2"/>
      <c r="F581" s="2"/>
      <c r="G581" s="2"/>
      <c r="H581" s="2"/>
      <c r="J581" s="96"/>
      <c r="K581" s="96"/>
      <c r="M581" s="19"/>
      <c r="N581" s="2"/>
    </row>
    <row r="582" spans="2:14" x14ac:dyDescent="0.25">
      <c r="B582" s="2"/>
      <c r="C582" s="2"/>
      <c r="D582" s="2"/>
      <c r="E582" s="2"/>
      <c r="F582" s="2"/>
      <c r="G582" s="2"/>
      <c r="H582" s="2"/>
      <c r="J582" s="96"/>
      <c r="K582" s="96"/>
      <c r="M582" s="19"/>
      <c r="N582" s="2"/>
    </row>
    <row r="583" spans="2:14" x14ac:dyDescent="0.25">
      <c r="B583" s="2"/>
      <c r="C583" s="2"/>
      <c r="D583" s="2"/>
      <c r="E583" s="2"/>
      <c r="F583" s="2"/>
      <c r="G583" s="2"/>
      <c r="H583" s="2"/>
      <c r="J583" s="96"/>
      <c r="K583" s="96"/>
      <c r="M583" s="19"/>
      <c r="N583" s="2"/>
    </row>
    <row r="584" spans="2:14" x14ac:dyDescent="0.25">
      <c r="B584" s="2"/>
      <c r="C584" s="2"/>
      <c r="D584" s="2"/>
      <c r="E584" s="2"/>
      <c r="F584" s="2"/>
      <c r="G584" s="2"/>
      <c r="H584" s="2"/>
      <c r="J584" s="96"/>
      <c r="K584" s="96"/>
      <c r="M584" s="19"/>
      <c r="N584" s="2"/>
    </row>
    <row r="585" spans="2:14" x14ac:dyDescent="0.25">
      <c r="B585" s="2"/>
      <c r="C585" s="2"/>
      <c r="D585" s="2"/>
      <c r="E585" s="2"/>
      <c r="F585" s="2"/>
      <c r="G585" s="2"/>
      <c r="H585" s="2"/>
      <c r="J585" s="96"/>
      <c r="K585" s="96"/>
      <c r="M585" s="19"/>
      <c r="N585" s="2"/>
    </row>
    <row r="586" spans="2:14" x14ac:dyDescent="0.25">
      <c r="B586" s="2"/>
      <c r="C586" s="2"/>
      <c r="D586" s="2"/>
      <c r="E586" s="2"/>
      <c r="F586" s="2"/>
      <c r="G586" s="2"/>
      <c r="H586" s="2"/>
      <c r="J586" s="96"/>
      <c r="K586" s="96"/>
      <c r="M586" s="19"/>
      <c r="N586" s="2"/>
    </row>
    <row r="587" spans="2:14" x14ac:dyDescent="0.25">
      <c r="B587" s="2"/>
      <c r="C587" s="2"/>
      <c r="D587" s="2"/>
      <c r="E587" s="2"/>
      <c r="F587" s="2"/>
      <c r="G587" s="2"/>
      <c r="H587" s="2"/>
      <c r="J587" s="96"/>
      <c r="K587" s="96"/>
      <c r="M587" s="19"/>
      <c r="N587" s="2"/>
    </row>
    <row r="588" spans="2:14" x14ac:dyDescent="0.25">
      <c r="B588" s="2"/>
      <c r="C588" s="2"/>
      <c r="D588" s="2"/>
      <c r="E588" s="2"/>
      <c r="F588" s="2"/>
      <c r="G588" s="2"/>
      <c r="H588" s="2"/>
      <c r="J588" s="96"/>
      <c r="K588" s="96"/>
      <c r="M588" s="19"/>
      <c r="N588" s="2"/>
    </row>
    <row r="589" spans="2:14" x14ac:dyDescent="0.25">
      <c r="B589" s="2"/>
      <c r="C589" s="2"/>
      <c r="D589" s="2"/>
      <c r="E589" s="2"/>
      <c r="F589" s="2"/>
      <c r="G589" s="2"/>
      <c r="H589" s="2"/>
      <c r="J589" s="96"/>
      <c r="K589" s="96"/>
      <c r="M589" s="19"/>
      <c r="N589" s="2"/>
    </row>
    <row r="590" spans="2:14" x14ac:dyDescent="0.25">
      <c r="B590" s="2"/>
      <c r="C590" s="2"/>
      <c r="D590" s="2"/>
      <c r="E590" s="2"/>
      <c r="F590" s="2"/>
      <c r="G590" s="2"/>
      <c r="H590" s="2"/>
      <c r="J590" s="96"/>
      <c r="K590" s="96"/>
      <c r="M590" s="19"/>
      <c r="N590" s="2"/>
    </row>
    <row r="591" spans="2:14" x14ac:dyDescent="0.25">
      <c r="B591" s="2"/>
      <c r="C591" s="2"/>
      <c r="D591" s="2"/>
      <c r="E591" s="2"/>
      <c r="F591" s="2"/>
      <c r="G591" s="2"/>
      <c r="H591" s="2"/>
      <c r="J591" s="96"/>
      <c r="K591" s="96"/>
      <c r="M591" s="19"/>
      <c r="N591" s="2"/>
    </row>
    <row r="592" spans="2:14" x14ac:dyDescent="0.25">
      <c r="B592" s="2"/>
      <c r="C592" s="2"/>
      <c r="D592" s="2"/>
      <c r="E592" s="2"/>
      <c r="F592" s="2"/>
      <c r="G592" s="2"/>
      <c r="H592" s="2"/>
      <c r="J592" s="96"/>
      <c r="K592" s="96"/>
      <c r="M592" s="19"/>
      <c r="N592" s="2"/>
    </row>
    <row r="593" spans="2:14" x14ac:dyDescent="0.25">
      <c r="B593" s="2"/>
      <c r="C593" s="2"/>
      <c r="D593" s="2"/>
      <c r="E593" s="2"/>
      <c r="F593" s="2"/>
      <c r="G593" s="2"/>
      <c r="H593" s="2"/>
      <c r="J593" s="96"/>
      <c r="K593" s="96"/>
      <c r="M593" s="19"/>
      <c r="N593" s="2"/>
    </row>
    <row r="594" spans="2:14" x14ac:dyDescent="0.25">
      <c r="B594" s="2"/>
      <c r="C594" s="2"/>
      <c r="D594" s="2"/>
      <c r="E594" s="2"/>
      <c r="F594" s="2"/>
      <c r="G594" s="2"/>
      <c r="H594" s="2"/>
      <c r="J594" s="96"/>
      <c r="K594" s="96"/>
      <c r="M594" s="19"/>
      <c r="N594" s="2"/>
    </row>
    <row r="595" spans="2:14" x14ac:dyDescent="0.25">
      <c r="B595" s="2"/>
      <c r="C595" s="2"/>
      <c r="D595" s="2"/>
      <c r="E595" s="2"/>
      <c r="F595" s="2"/>
      <c r="G595" s="2"/>
      <c r="H595" s="2"/>
      <c r="J595" s="96"/>
      <c r="K595" s="96"/>
      <c r="M595" s="19"/>
      <c r="N595" s="2"/>
    </row>
    <row r="596" spans="2:14" x14ac:dyDescent="0.25">
      <c r="B596" s="2"/>
      <c r="C596" s="2"/>
      <c r="D596" s="2"/>
      <c r="E596" s="2"/>
      <c r="F596" s="2"/>
      <c r="G596" s="2"/>
      <c r="H596" s="2"/>
      <c r="J596" s="96"/>
      <c r="K596" s="96"/>
      <c r="M596" s="19"/>
      <c r="N596" s="2"/>
    </row>
    <row r="597" spans="2:14" x14ac:dyDescent="0.25">
      <c r="B597" s="2"/>
      <c r="C597" s="2"/>
      <c r="D597" s="2"/>
      <c r="E597" s="2"/>
      <c r="F597" s="2"/>
      <c r="G597" s="2"/>
      <c r="H597" s="2"/>
      <c r="J597" s="96"/>
      <c r="K597" s="96"/>
      <c r="M597" s="19"/>
      <c r="N597" s="2"/>
    </row>
    <row r="598" spans="2:14" x14ac:dyDescent="0.25">
      <c r="B598" s="2"/>
      <c r="C598" s="2"/>
      <c r="D598" s="2"/>
      <c r="E598" s="2"/>
      <c r="F598" s="2"/>
      <c r="G598" s="2"/>
      <c r="H598" s="2"/>
      <c r="J598" s="96"/>
      <c r="K598" s="96"/>
      <c r="M598" s="19"/>
      <c r="N598" s="2"/>
    </row>
    <row r="599" spans="2:14" x14ac:dyDescent="0.25">
      <c r="B599" s="2"/>
      <c r="C599" s="2"/>
      <c r="D599" s="2"/>
      <c r="E599" s="2"/>
      <c r="F599" s="2"/>
      <c r="G599" s="2"/>
      <c r="H599" s="2"/>
      <c r="J599" s="96"/>
      <c r="K599" s="96"/>
      <c r="M599" s="19"/>
      <c r="N599" s="2"/>
    </row>
    <row r="600" spans="2:14" x14ac:dyDescent="0.25">
      <c r="B600" s="2"/>
      <c r="C600" s="2"/>
      <c r="D600" s="2"/>
      <c r="E600" s="2"/>
      <c r="F600" s="2"/>
      <c r="G600" s="2"/>
      <c r="H600" s="2"/>
      <c r="J600" s="96"/>
      <c r="K600" s="96"/>
      <c r="M600" s="19"/>
      <c r="N600" s="2"/>
    </row>
    <row r="601" spans="2:14" x14ac:dyDescent="0.25">
      <c r="B601" s="2"/>
      <c r="C601" s="2"/>
      <c r="D601" s="2"/>
      <c r="E601" s="2"/>
      <c r="F601" s="2"/>
      <c r="G601" s="2"/>
      <c r="H601" s="2"/>
      <c r="J601" s="96"/>
      <c r="K601" s="96"/>
      <c r="M601" s="19"/>
      <c r="N601" s="2"/>
    </row>
    <row r="602" spans="2:14" x14ac:dyDescent="0.25">
      <c r="B602" s="2"/>
      <c r="C602" s="2"/>
      <c r="D602" s="2"/>
      <c r="E602" s="2"/>
      <c r="F602" s="2"/>
      <c r="G602" s="2"/>
      <c r="H602" s="2"/>
      <c r="J602" s="96"/>
      <c r="K602" s="96"/>
      <c r="M602" s="19"/>
      <c r="N602" s="2"/>
    </row>
    <row r="603" spans="2:14" x14ac:dyDescent="0.25">
      <c r="B603" s="2"/>
      <c r="C603" s="2"/>
      <c r="D603" s="2"/>
      <c r="E603" s="2"/>
      <c r="F603" s="2"/>
      <c r="G603" s="2"/>
      <c r="H603" s="2"/>
      <c r="J603" s="96"/>
      <c r="K603" s="96"/>
      <c r="M603" s="19"/>
      <c r="N603" s="2"/>
    </row>
    <row r="604" spans="2:14" x14ac:dyDescent="0.25">
      <c r="B604" s="2"/>
      <c r="C604" s="2"/>
      <c r="D604" s="2"/>
      <c r="E604" s="2"/>
      <c r="F604" s="2"/>
      <c r="G604" s="2"/>
      <c r="H604" s="2"/>
      <c r="J604" s="96"/>
      <c r="K604" s="96"/>
      <c r="M604" s="19"/>
      <c r="N604" s="2"/>
    </row>
    <row r="605" spans="2:14" x14ac:dyDescent="0.25">
      <c r="B605" s="2"/>
      <c r="C605" s="2"/>
      <c r="D605" s="2"/>
      <c r="E605" s="2"/>
      <c r="F605" s="2"/>
      <c r="G605" s="2"/>
      <c r="H605" s="2"/>
      <c r="J605" s="96"/>
      <c r="K605" s="96"/>
      <c r="M605" s="19"/>
      <c r="N605" s="2"/>
    </row>
    <row r="606" spans="2:14" x14ac:dyDescent="0.25">
      <c r="B606" s="2"/>
      <c r="C606" s="2"/>
      <c r="D606" s="2"/>
      <c r="E606" s="2"/>
      <c r="F606" s="2"/>
      <c r="G606" s="2"/>
      <c r="H606" s="2"/>
      <c r="J606" s="96"/>
      <c r="K606" s="96"/>
      <c r="M606" s="19"/>
      <c r="N606" s="2"/>
    </row>
    <row r="607" spans="2:14" x14ac:dyDescent="0.25">
      <c r="B607" s="2"/>
      <c r="C607" s="2"/>
      <c r="D607" s="2"/>
      <c r="E607" s="2"/>
      <c r="F607" s="2"/>
      <c r="G607" s="2"/>
      <c r="H607" s="2"/>
      <c r="J607" s="96"/>
      <c r="K607" s="96"/>
      <c r="M607" s="19"/>
      <c r="N607" s="2"/>
    </row>
    <row r="608" spans="2:14" x14ac:dyDescent="0.25">
      <c r="B608" s="2"/>
      <c r="C608" s="2"/>
      <c r="D608" s="2"/>
      <c r="E608" s="2"/>
      <c r="F608" s="2"/>
      <c r="G608" s="2"/>
      <c r="H608" s="2"/>
      <c r="J608" s="96"/>
      <c r="K608" s="96"/>
      <c r="M608" s="19"/>
      <c r="N608" s="2"/>
    </row>
    <row r="609" spans="2:14" x14ac:dyDescent="0.25">
      <c r="B609" s="2"/>
      <c r="C609" s="2"/>
      <c r="D609" s="2"/>
      <c r="E609" s="2"/>
      <c r="F609" s="2"/>
      <c r="G609" s="2"/>
      <c r="H609" s="2"/>
      <c r="J609" s="96"/>
      <c r="K609" s="96"/>
      <c r="M609" s="19"/>
      <c r="N609" s="2"/>
    </row>
    <row r="610" spans="2:14" x14ac:dyDescent="0.25">
      <c r="B610" s="2"/>
      <c r="C610" s="2"/>
      <c r="D610" s="2"/>
      <c r="E610" s="2"/>
      <c r="F610" s="2"/>
      <c r="G610" s="2"/>
      <c r="H610" s="2"/>
      <c r="J610" s="96"/>
      <c r="K610" s="96"/>
      <c r="M610" s="19"/>
      <c r="N610" s="2"/>
    </row>
    <row r="611" spans="2:14" x14ac:dyDescent="0.25">
      <c r="B611" s="2"/>
      <c r="C611" s="2"/>
      <c r="D611" s="2"/>
      <c r="E611" s="2"/>
      <c r="F611" s="2"/>
      <c r="G611" s="2"/>
      <c r="H611" s="2"/>
      <c r="J611" s="96"/>
      <c r="K611" s="96"/>
      <c r="M611" s="19"/>
      <c r="N611" s="2"/>
    </row>
    <row r="612" spans="2:14" x14ac:dyDescent="0.25">
      <c r="B612" s="2"/>
      <c r="C612" s="2"/>
      <c r="D612" s="2"/>
      <c r="E612" s="2"/>
      <c r="F612" s="2"/>
      <c r="G612" s="2"/>
      <c r="H612" s="2"/>
      <c r="J612" s="96"/>
      <c r="K612" s="96"/>
      <c r="M612" s="19"/>
      <c r="N612" s="2"/>
    </row>
    <row r="613" spans="2:14" x14ac:dyDescent="0.25">
      <c r="B613" s="2"/>
      <c r="C613" s="2"/>
      <c r="D613" s="2"/>
      <c r="E613" s="2"/>
      <c r="F613" s="2"/>
      <c r="G613" s="2"/>
      <c r="H613" s="2"/>
      <c r="J613" s="96"/>
      <c r="K613" s="96"/>
      <c r="M613" s="19"/>
      <c r="N613" s="2"/>
    </row>
    <row r="614" spans="2:14" x14ac:dyDescent="0.25">
      <c r="B614" s="2"/>
      <c r="C614" s="2"/>
      <c r="D614" s="2"/>
      <c r="E614" s="2"/>
      <c r="F614" s="2"/>
      <c r="G614" s="2"/>
      <c r="H614" s="2"/>
      <c r="J614" s="96"/>
      <c r="K614" s="96"/>
      <c r="M614" s="19"/>
      <c r="N614" s="2"/>
    </row>
    <row r="615" spans="2:14" x14ac:dyDescent="0.25">
      <c r="B615" s="2"/>
      <c r="C615" s="2"/>
      <c r="D615" s="2"/>
      <c r="E615" s="2"/>
      <c r="F615" s="2"/>
      <c r="G615" s="2"/>
      <c r="H615" s="2"/>
      <c r="J615" s="96"/>
      <c r="K615" s="96"/>
      <c r="M615" s="19"/>
      <c r="N615" s="2"/>
    </row>
    <row r="616" spans="2:14" x14ac:dyDescent="0.25">
      <c r="B616" s="2"/>
      <c r="C616" s="2"/>
      <c r="D616" s="2"/>
      <c r="E616" s="2"/>
      <c r="F616" s="2"/>
      <c r="G616" s="2"/>
      <c r="H616" s="2"/>
      <c r="J616" s="96"/>
      <c r="K616" s="96"/>
      <c r="M616" s="19"/>
      <c r="N616" s="2"/>
    </row>
    <row r="617" spans="2:14" x14ac:dyDescent="0.25">
      <c r="B617" s="2"/>
      <c r="C617" s="2"/>
      <c r="D617" s="2"/>
      <c r="E617" s="2"/>
      <c r="F617" s="2"/>
      <c r="G617" s="2"/>
      <c r="H617" s="2"/>
      <c r="J617" s="96"/>
      <c r="K617" s="96"/>
      <c r="M617" s="19"/>
      <c r="N617" s="2"/>
    </row>
    <row r="618" spans="2:14" x14ac:dyDescent="0.25">
      <c r="B618" s="2"/>
      <c r="C618" s="2"/>
      <c r="D618" s="2"/>
      <c r="E618" s="2"/>
      <c r="F618" s="2"/>
      <c r="G618" s="2"/>
      <c r="H618" s="2"/>
      <c r="J618" s="96"/>
      <c r="K618" s="96"/>
      <c r="M618" s="19"/>
      <c r="N618" s="2"/>
    </row>
    <row r="619" spans="2:14" x14ac:dyDescent="0.25">
      <c r="B619" s="2"/>
      <c r="C619" s="2"/>
      <c r="D619" s="2"/>
      <c r="E619" s="2"/>
      <c r="F619" s="2"/>
      <c r="G619" s="2"/>
      <c r="H619" s="2"/>
      <c r="J619" s="96"/>
      <c r="K619" s="96"/>
      <c r="M619" s="19"/>
      <c r="N619" s="2"/>
    </row>
    <row r="620" spans="2:14" x14ac:dyDescent="0.25">
      <c r="B620" s="2"/>
      <c r="C620" s="2"/>
      <c r="D620" s="2"/>
      <c r="E620" s="2"/>
      <c r="F620" s="2"/>
      <c r="G620" s="2"/>
      <c r="H620" s="2"/>
      <c r="J620" s="96"/>
      <c r="K620" s="96"/>
      <c r="M620" s="19"/>
      <c r="N620" s="2"/>
    </row>
    <row r="621" spans="2:14" x14ac:dyDescent="0.25">
      <c r="B621" s="2"/>
      <c r="C621" s="2"/>
      <c r="D621" s="2"/>
      <c r="E621" s="2"/>
      <c r="F621" s="2"/>
      <c r="G621" s="2"/>
      <c r="H621" s="2"/>
      <c r="J621" s="96"/>
      <c r="K621" s="96"/>
      <c r="M621" s="19"/>
      <c r="N621" s="2"/>
    </row>
    <row r="622" spans="2:14" x14ac:dyDescent="0.25">
      <c r="B622" s="2"/>
      <c r="C622" s="2"/>
      <c r="D622" s="2"/>
      <c r="E622" s="2"/>
      <c r="F622" s="2"/>
      <c r="G622" s="2"/>
      <c r="H622" s="2"/>
      <c r="J622" s="96"/>
      <c r="K622" s="96"/>
      <c r="M622" s="19"/>
      <c r="N622" s="2"/>
    </row>
    <row r="623" spans="2:14" x14ac:dyDescent="0.25">
      <c r="B623" s="2"/>
      <c r="C623" s="2"/>
      <c r="D623" s="2"/>
      <c r="E623" s="2"/>
      <c r="F623" s="2"/>
      <c r="G623" s="2"/>
      <c r="H623" s="2"/>
      <c r="J623" s="96"/>
      <c r="K623" s="96"/>
      <c r="M623" s="19"/>
      <c r="N623" s="2"/>
    </row>
    <row r="624" spans="2:14" x14ac:dyDescent="0.25">
      <c r="B624" s="2"/>
      <c r="C624" s="2"/>
      <c r="D624" s="2"/>
      <c r="E624" s="2"/>
      <c r="F624" s="2"/>
      <c r="G624" s="2"/>
      <c r="H624" s="2"/>
      <c r="J624" s="96"/>
      <c r="K624" s="96"/>
      <c r="M624" s="19"/>
      <c r="N624" s="2"/>
    </row>
    <row r="625" spans="2:14" x14ac:dyDescent="0.25">
      <c r="B625" s="2"/>
      <c r="C625" s="2"/>
      <c r="D625" s="2"/>
      <c r="E625" s="2"/>
      <c r="F625" s="2"/>
      <c r="G625" s="2"/>
      <c r="H625" s="2"/>
      <c r="J625" s="96"/>
      <c r="K625" s="96"/>
      <c r="M625" s="19"/>
      <c r="N625" s="2"/>
    </row>
    <row r="626" spans="2:14" x14ac:dyDescent="0.25">
      <c r="B626" s="2"/>
      <c r="C626" s="2"/>
      <c r="D626" s="2"/>
      <c r="E626" s="2"/>
      <c r="F626" s="2"/>
      <c r="G626" s="2"/>
      <c r="H626" s="2"/>
      <c r="J626" s="96"/>
      <c r="K626" s="96"/>
      <c r="M626" s="19"/>
      <c r="N626" s="2"/>
    </row>
    <row r="627" spans="2:14" x14ac:dyDescent="0.25">
      <c r="B627" s="2"/>
      <c r="C627" s="2"/>
      <c r="D627" s="2"/>
      <c r="E627" s="2"/>
      <c r="F627" s="2"/>
      <c r="G627" s="2"/>
      <c r="H627" s="2"/>
      <c r="J627" s="96"/>
      <c r="K627" s="96"/>
      <c r="M627" s="19"/>
      <c r="N627" s="2"/>
    </row>
    <row r="628" spans="2:14" x14ac:dyDescent="0.25">
      <c r="B628" s="2"/>
      <c r="C628" s="2"/>
      <c r="D628" s="2"/>
      <c r="E628" s="2"/>
      <c r="F628" s="2"/>
      <c r="G628" s="2"/>
      <c r="H628" s="2"/>
      <c r="J628" s="96"/>
      <c r="K628" s="96"/>
      <c r="M628" s="19"/>
      <c r="N628" s="2"/>
    </row>
    <row r="629" spans="2:14" x14ac:dyDescent="0.25">
      <c r="B629" s="2"/>
      <c r="C629" s="2"/>
      <c r="D629" s="2"/>
      <c r="E629" s="2"/>
      <c r="F629" s="2"/>
      <c r="G629" s="2"/>
      <c r="H629" s="2"/>
      <c r="J629" s="96"/>
      <c r="K629" s="96"/>
      <c r="M629" s="19"/>
      <c r="N629" s="2"/>
    </row>
    <row r="630" spans="2:14" x14ac:dyDescent="0.25">
      <c r="B630" s="2"/>
      <c r="C630" s="2"/>
      <c r="D630" s="2"/>
      <c r="E630" s="2"/>
      <c r="F630" s="2"/>
      <c r="G630" s="2"/>
      <c r="H630" s="2"/>
      <c r="J630" s="96"/>
      <c r="K630" s="96"/>
      <c r="M630" s="19"/>
      <c r="N630" s="2"/>
    </row>
    <row r="631" spans="2:14" x14ac:dyDescent="0.25">
      <c r="B631" s="2"/>
      <c r="C631" s="2"/>
      <c r="D631" s="2"/>
      <c r="E631" s="2"/>
      <c r="F631" s="2"/>
      <c r="G631" s="2"/>
      <c r="H631" s="2"/>
      <c r="J631" s="96"/>
      <c r="K631" s="96"/>
      <c r="M631" s="19"/>
      <c r="N631" s="2"/>
    </row>
    <row r="632" spans="2:14" x14ac:dyDescent="0.25">
      <c r="B632" s="2"/>
      <c r="C632" s="2"/>
      <c r="D632" s="2"/>
      <c r="E632" s="2"/>
      <c r="F632" s="2"/>
      <c r="G632" s="2"/>
      <c r="H632" s="2"/>
      <c r="J632" s="96"/>
      <c r="K632" s="96"/>
      <c r="M632" s="19"/>
      <c r="N632" s="2"/>
    </row>
    <row r="633" spans="2:14" x14ac:dyDescent="0.25">
      <c r="B633" s="2"/>
      <c r="C633" s="2"/>
      <c r="D633" s="2"/>
      <c r="E633" s="2"/>
      <c r="F633" s="2"/>
      <c r="G633" s="2"/>
      <c r="H633" s="2"/>
      <c r="J633" s="96"/>
      <c r="K633" s="96"/>
      <c r="M633" s="19"/>
      <c r="N633" s="2"/>
    </row>
    <row r="634" spans="2:14" x14ac:dyDescent="0.25">
      <c r="B634" s="2"/>
      <c r="C634" s="2"/>
      <c r="D634" s="2"/>
      <c r="E634" s="2"/>
      <c r="F634" s="2"/>
      <c r="G634" s="2"/>
      <c r="H634" s="2"/>
      <c r="J634" s="96"/>
      <c r="K634" s="96"/>
      <c r="M634" s="19"/>
      <c r="N634" s="2"/>
    </row>
    <row r="635" spans="2:14" x14ac:dyDescent="0.25">
      <c r="B635" s="2"/>
      <c r="C635" s="2"/>
      <c r="D635" s="2"/>
      <c r="E635" s="2"/>
      <c r="F635" s="2"/>
      <c r="G635" s="2"/>
      <c r="H635" s="2"/>
      <c r="J635" s="96"/>
      <c r="K635" s="96"/>
      <c r="M635" s="19"/>
      <c r="N635" s="2"/>
    </row>
    <row r="636" spans="2:14" x14ac:dyDescent="0.25">
      <c r="B636" s="2"/>
      <c r="C636" s="2"/>
      <c r="D636" s="2"/>
      <c r="E636" s="2"/>
      <c r="F636" s="2"/>
      <c r="G636" s="2"/>
      <c r="H636" s="2"/>
      <c r="J636" s="96"/>
      <c r="K636" s="96"/>
      <c r="M636" s="19"/>
      <c r="N636" s="2"/>
    </row>
    <row r="637" spans="2:14" x14ac:dyDescent="0.25">
      <c r="B637" s="2"/>
      <c r="C637" s="2"/>
      <c r="D637" s="2"/>
      <c r="E637" s="2"/>
      <c r="F637" s="2"/>
      <c r="G637" s="2"/>
      <c r="H637" s="2"/>
      <c r="J637" s="96"/>
      <c r="K637" s="96"/>
      <c r="M637" s="19"/>
      <c r="N637" s="2"/>
    </row>
    <row r="638" spans="2:14" x14ac:dyDescent="0.25">
      <c r="B638" s="2"/>
      <c r="C638" s="2"/>
      <c r="D638" s="2"/>
      <c r="E638" s="2"/>
      <c r="F638" s="2"/>
      <c r="G638" s="2"/>
      <c r="H638" s="2"/>
      <c r="J638" s="96"/>
      <c r="K638" s="96"/>
      <c r="M638" s="19"/>
      <c r="N638" s="2"/>
    </row>
    <row r="639" spans="2:14" x14ac:dyDescent="0.25">
      <c r="B639" s="2"/>
      <c r="C639" s="2"/>
      <c r="D639" s="2"/>
      <c r="E639" s="2"/>
      <c r="F639" s="2"/>
      <c r="G639" s="2"/>
      <c r="H639" s="2"/>
      <c r="J639" s="96"/>
      <c r="K639" s="96"/>
      <c r="M639" s="19"/>
      <c r="N639" s="2"/>
    </row>
    <row r="640" spans="2:14" x14ac:dyDescent="0.25">
      <c r="B640" s="2"/>
      <c r="C640" s="2"/>
      <c r="D640" s="2"/>
      <c r="E640" s="2"/>
      <c r="F640" s="2"/>
      <c r="G640" s="2"/>
      <c r="H640" s="2"/>
      <c r="J640" s="96"/>
      <c r="K640" s="96"/>
      <c r="M640" s="19"/>
      <c r="N640" s="2"/>
    </row>
    <row r="641" spans="2:14" x14ac:dyDescent="0.25">
      <c r="B641" s="2"/>
      <c r="C641" s="2"/>
      <c r="D641" s="2"/>
      <c r="E641" s="2"/>
      <c r="F641" s="2"/>
      <c r="G641" s="2"/>
      <c r="H641" s="2"/>
      <c r="J641" s="96"/>
      <c r="K641" s="96"/>
      <c r="M641" s="19"/>
      <c r="N641" s="2"/>
    </row>
    <row r="642" spans="2:14" x14ac:dyDescent="0.25">
      <c r="B642" s="2"/>
      <c r="C642" s="2"/>
      <c r="D642" s="2"/>
      <c r="E642" s="2"/>
      <c r="F642" s="2"/>
      <c r="G642" s="2"/>
      <c r="H642" s="2"/>
      <c r="J642" s="96"/>
      <c r="K642" s="96"/>
      <c r="M642" s="19"/>
      <c r="N642" s="2"/>
    </row>
    <row r="643" spans="2:14" x14ac:dyDescent="0.25">
      <c r="B643" s="2"/>
      <c r="C643" s="2"/>
      <c r="D643" s="2"/>
      <c r="E643" s="2"/>
      <c r="F643" s="2"/>
      <c r="G643" s="2"/>
      <c r="H643" s="2"/>
      <c r="J643" s="96"/>
      <c r="K643" s="96"/>
      <c r="M643" s="19"/>
      <c r="N643" s="2"/>
    </row>
    <row r="644" spans="2:14" x14ac:dyDescent="0.25">
      <c r="B644" s="2"/>
      <c r="C644" s="2"/>
      <c r="D644" s="2"/>
      <c r="E644" s="2"/>
      <c r="F644" s="2"/>
      <c r="G644" s="2"/>
      <c r="H644" s="2"/>
      <c r="J644" s="96"/>
      <c r="K644" s="96"/>
      <c r="M644" s="19"/>
      <c r="N644" s="2"/>
    </row>
    <row r="645" spans="2:14" x14ac:dyDescent="0.25">
      <c r="B645" s="2"/>
      <c r="C645" s="2"/>
      <c r="D645" s="2"/>
      <c r="E645" s="2"/>
      <c r="F645" s="2"/>
      <c r="G645" s="2"/>
      <c r="H645" s="2"/>
      <c r="J645" s="96"/>
      <c r="K645" s="96"/>
      <c r="M645" s="19"/>
      <c r="N645" s="2"/>
    </row>
    <row r="646" spans="2:14" x14ac:dyDescent="0.25">
      <c r="B646" s="2"/>
      <c r="C646" s="2"/>
      <c r="D646" s="2"/>
      <c r="E646" s="2"/>
      <c r="F646" s="2"/>
      <c r="G646" s="2"/>
      <c r="H646" s="2"/>
      <c r="J646" s="96"/>
      <c r="K646" s="96"/>
      <c r="M646" s="19"/>
      <c r="N646" s="2"/>
    </row>
    <row r="647" spans="2:14" x14ac:dyDescent="0.25">
      <c r="B647" s="2"/>
      <c r="C647" s="2"/>
      <c r="D647" s="2"/>
      <c r="E647" s="2"/>
      <c r="F647" s="2"/>
      <c r="G647" s="2"/>
      <c r="H647" s="2"/>
      <c r="J647" s="96"/>
      <c r="K647" s="96"/>
      <c r="M647" s="19"/>
      <c r="N647" s="2"/>
    </row>
    <row r="648" spans="2:14" x14ac:dyDescent="0.25">
      <c r="B648" s="2"/>
      <c r="C648" s="2"/>
      <c r="D648" s="2"/>
      <c r="E648" s="2"/>
      <c r="F648" s="2"/>
      <c r="G648" s="2"/>
      <c r="H648" s="2"/>
      <c r="J648" s="96"/>
      <c r="K648" s="96"/>
      <c r="M648" s="19"/>
      <c r="N648" s="2"/>
    </row>
    <row r="649" spans="2:14" x14ac:dyDescent="0.25">
      <c r="B649" s="2"/>
      <c r="C649" s="2"/>
      <c r="D649" s="2"/>
      <c r="E649" s="2"/>
      <c r="F649" s="2"/>
      <c r="G649" s="2"/>
      <c r="H649" s="2"/>
      <c r="J649" s="96"/>
      <c r="K649" s="96"/>
      <c r="M649" s="19"/>
      <c r="N649" s="2"/>
    </row>
    <row r="650" spans="2:14" x14ac:dyDescent="0.25">
      <c r="B650" s="2"/>
      <c r="C650" s="2"/>
      <c r="D650" s="2"/>
      <c r="E650" s="2"/>
      <c r="F650" s="2"/>
      <c r="G650" s="2"/>
      <c r="H650" s="2"/>
      <c r="J650" s="96"/>
      <c r="K650" s="96"/>
      <c r="M650" s="19"/>
      <c r="N650" s="2"/>
    </row>
    <row r="651" spans="2:14" x14ac:dyDescent="0.25">
      <c r="B651" s="2"/>
      <c r="C651" s="2"/>
      <c r="D651" s="2"/>
      <c r="E651" s="2"/>
      <c r="F651" s="2"/>
      <c r="G651" s="2"/>
      <c r="H651" s="2"/>
      <c r="J651" s="96"/>
      <c r="K651" s="96"/>
      <c r="M651" s="19"/>
      <c r="N651" s="2"/>
    </row>
    <row r="652" spans="2:14" x14ac:dyDescent="0.25">
      <c r="B652" s="2"/>
      <c r="C652" s="2"/>
      <c r="D652" s="2"/>
      <c r="E652" s="2"/>
      <c r="F652" s="2"/>
      <c r="G652" s="2"/>
      <c r="H652" s="2"/>
      <c r="J652" s="96"/>
      <c r="K652" s="96"/>
      <c r="M652" s="19"/>
      <c r="N652" s="2"/>
    </row>
    <row r="653" spans="2:14" x14ac:dyDescent="0.25">
      <c r="B653" s="2"/>
      <c r="C653" s="2"/>
      <c r="D653" s="2"/>
      <c r="E653" s="2"/>
      <c r="F653" s="2"/>
      <c r="G653" s="2"/>
      <c r="H653" s="2"/>
      <c r="J653" s="96"/>
      <c r="K653" s="96"/>
      <c r="M653" s="19"/>
      <c r="N653" s="2"/>
    </row>
    <row r="654" spans="2:14" x14ac:dyDescent="0.25">
      <c r="B654" s="2"/>
      <c r="C654" s="2"/>
      <c r="D654" s="2"/>
      <c r="E654" s="2"/>
      <c r="F654" s="2"/>
      <c r="G654" s="2"/>
      <c r="H654" s="2"/>
      <c r="J654" s="96"/>
      <c r="K654" s="96"/>
      <c r="M654" s="19"/>
      <c r="N654" s="2"/>
    </row>
    <row r="655" spans="2:14" x14ac:dyDescent="0.25">
      <c r="B655" s="2"/>
      <c r="C655" s="2"/>
      <c r="D655" s="2"/>
      <c r="E655" s="2"/>
      <c r="F655" s="2"/>
      <c r="G655" s="2"/>
      <c r="H655" s="2"/>
      <c r="J655" s="96"/>
      <c r="K655" s="96"/>
      <c r="M655" s="19"/>
      <c r="N655" s="2"/>
    </row>
    <row r="656" spans="2:14" x14ac:dyDescent="0.25">
      <c r="B656" s="2"/>
      <c r="C656" s="2"/>
      <c r="D656" s="2"/>
      <c r="E656" s="2"/>
      <c r="F656" s="2"/>
      <c r="G656" s="2"/>
      <c r="H656" s="2"/>
      <c r="J656" s="96"/>
      <c r="K656" s="96"/>
      <c r="M656" s="19"/>
      <c r="N656" s="2"/>
    </row>
    <row r="657" spans="2:14" x14ac:dyDescent="0.25">
      <c r="B657" s="2"/>
      <c r="C657" s="2"/>
      <c r="D657" s="2"/>
      <c r="E657" s="2"/>
      <c r="F657" s="2"/>
      <c r="G657" s="2"/>
      <c r="H657" s="2"/>
      <c r="J657" s="96"/>
      <c r="K657" s="96"/>
      <c r="M657" s="19"/>
      <c r="N657" s="2"/>
    </row>
    <row r="658" spans="2:14" x14ac:dyDescent="0.25">
      <c r="B658" s="2"/>
      <c r="C658" s="2"/>
      <c r="D658" s="2"/>
      <c r="E658" s="2"/>
      <c r="F658" s="2"/>
      <c r="G658" s="2"/>
      <c r="H658" s="2"/>
      <c r="J658" s="96"/>
      <c r="K658" s="96"/>
      <c r="M658" s="19"/>
      <c r="N658" s="2"/>
    </row>
    <row r="659" spans="2:14" x14ac:dyDescent="0.25">
      <c r="B659" s="2"/>
      <c r="C659" s="2"/>
      <c r="D659" s="2"/>
      <c r="E659" s="2"/>
      <c r="F659" s="2"/>
      <c r="G659" s="2"/>
      <c r="H659" s="2"/>
      <c r="J659" s="96"/>
      <c r="K659" s="96"/>
      <c r="M659" s="19"/>
      <c r="N659" s="2"/>
    </row>
    <row r="660" spans="2:14" x14ac:dyDescent="0.25">
      <c r="B660" s="2"/>
      <c r="C660" s="2"/>
      <c r="D660" s="2"/>
      <c r="E660" s="2"/>
      <c r="F660" s="2"/>
      <c r="G660" s="2"/>
      <c r="H660" s="2"/>
      <c r="J660" s="96"/>
      <c r="K660" s="96"/>
      <c r="M660" s="19"/>
      <c r="N660" s="2"/>
    </row>
    <row r="661" spans="2:14" x14ac:dyDescent="0.25">
      <c r="B661" s="2"/>
      <c r="C661" s="2"/>
      <c r="D661" s="2"/>
      <c r="E661" s="2"/>
      <c r="F661" s="2"/>
      <c r="G661" s="2"/>
      <c r="H661" s="2"/>
      <c r="J661" s="96"/>
      <c r="K661" s="96"/>
      <c r="M661" s="19"/>
      <c r="N661" s="2"/>
    </row>
    <row r="662" spans="2:14" x14ac:dyDescent="0.25">
      <c r="B662" s="2"/>
      <c r="C662" s="2"/>
      <c r="D662" s="2"/>
      <c r="E662" s="2"/>
      <c r="F662" s="2"/>
      <c r="G662" s="2"/>
      <c r="H662" s="2"/>
      <c r="J662" s="96"/>
      <c r="K662" s="96"/>
      <c r="M662" s="19"/>
      <c r="N662" s="2"/>
    </row>
    <row r="663" spans="2:14" x14ac:dyDescent="0.25">
      <c r="B663" s="2"/>
      <c r="C663" s="2"/>
      <c r="D663" s="2"/>
      <c r="E663" s="2"/>
      <c r="F663" s="2"/>
      <c r="G663" s="2"/>
      <c r="H663" s="2"/>
      <c r="J663" s="96"/>
      <c r="K663" s="96"/>
      <c r="M663" s="19"/>
      <c r="N663" s="2"/>
    </row>
    <row r="664" spans="2:14" x14ac:dyDescent="0.25">
      <c r="B664" s="2"/>
      <c r="C664" s="2"/>
      <c r="D664" s="2"/>
      <c r="E664" s="2"/>
      <c r="F664" s="2"/>
      <c r="G664" s="2"/>
      <c r="H664" s="2"/>
      <c r="J664" s="96"/>
      <c r="K664" s="96"/>
      <c r="M664" s="19"/>
      <c r="N664" s="2"/>
    </row>
    <row r="665" spans="2:14" x14ac:dyDescent="0.25">
      <c r="B665" s="2"/>
      <c r="C665" s="2"/>
      <c r="D665" s="2"/>
      <c r="E665" s="2"/>
      <c r="F665" s="2"/>
      <c r="G665" s="2"/>
      <c r="H665" s="2"/>
      <c r="J665" s="96"/>
      <c r="K665" s="96"/>
      <c r="M665" s="19"/>
      <c r="N665" s="2"/>
    </row>
    <row r="666" spans="2:14" x14ac:dyDescent="0.25">
      <c r="B666" s="2"/>
      <c r="C666" s="2"/>
      <c r="D666" s="2"/>
      <c r="E666" s="2"/>
      <c r="F666" s="2"/>
      <c r="G666" s="2"/>
      <c r="H666" s="2"/>
      <c r="J666" s="96"/>
      <c r="K666" s="96"/>
      <c r="M666" s="19"/>
      <c r="N666" s="2"/>
    </row>
    <row r="667" spans="2:14" x14ac:dyDescent="0.25">
      <c r="B667" s="2"/>
      <c r="C667" s="2"/>
      <c r="D667" s="2"/>
      <c r="E667" s="2"/>
      <c r="F667" s="2"/>
      <c r="G667" s="2"/>
      <c r="H667" s="2"/>
      <c r="J667" s="96"/>
      <c r="K667" s="96"/>
      <c r="M667" s="19"/>
      <c r="N667" s="2"/>
    </row>
    <row r="668" spans="2:14" x14ac:dyDescent="0.25">
      <c r="B668" s="2"/>
      <c r="C668" s="2"/>
      <c r="D668" s="2"/>
      <c r="E668" s="2"/>
      <c r="F668" s="2"/>
      <c r="G668" s="2"/>
      <c r="H668" s="2"/>
      <c r="J668" s="96"/>
      <c r="K668" s="96"/>
      <c r="M668" s="19"/>
      <c r="N668" s="2"/>
    </row>
    <row r="669" spans="2:14" x14ac:dyDescent="0.25">
      <c r="B669" s="2"/>
      <c r="C669" s="2"/>
      <c r="D669" s="2"/>
      <c r="E669" s="2"/>
      <c r="F669" s="2"/>
      <c r="G669" s="2"/>
      <c r="H669" s="2"/>
      <c r="J669" s="96"/>
      <c r="K669" s="96"/>
      <c r="M669" s="19"/>
      <c r="N669" s="2"/>
    </row>
    <row r="670" spans="2:14" x14ac:dyDescent="0.25">
      <c r="B670" s="2"/>
      <c r="C670" s="2"/>
      <c r="D670" s="2"/>
      <c r="E670" s="2"/>
      <c r="F670" s="2"/>
      <c r="G670" s="2"/>
      <c r="H670" s="2"/>
      <c r="J670" s="96"/>
      <c r="K670" s="96"/>
      <c r="M670" s="19"/>
      <c r="N670" s="2"/>
    </row>
    <row r="671" spans="2:14" x14ac:dyDescent="0.25">
      <c r="B671" s="2"/>
      <c r="C671" s="2"/>
      <c r="D671" s="2"/>
      <c r="E671" s="2"/>
      <c r="F671" s="2"/>
      <c r="G671" s="2"/>
      <c r="H671" s="2"/>
      <c r="J671" s="96"/>
      <c r="K671" s="96"/>
      <c r="M671" s="19"/>
      <c r="N671" s="2"/>
    </row>
    <row r="672" spans="2:14" x14ac:dyDescent="0.25">
      <c r="B672" s="2"/>
      <c r="C672" s="2"/>
      <c r="D672" s="2"/>
      <c r="E672" s="2"/>
      <c r="F672" s="2"/>
      <c r="G672" s="2"/>
      <c r="H672" s="2"/>
      <c r="J672" s="96"/>
      <c r="K672" s="96"/>
      <c r="M672" s="19"/>
      <c r="N672" s="2"/>
    </row>
    <row r="673" spans="2:14" x14ac:dyDescent="0.25">
      <c r="B673" s="2"/>
      <c r="C673" s="2"/>
      <c r="D673" s="2"/>
      <c r="E673" s="2"/>
      <c r="F673" s="2"/>
      <c r="G673" s="2"/>
      <c r="H673" s="2"/>
      <c r="J673" s="96"/>
      <c r="K673" s="96"/>
      <c r="M673" s="19"/>
      <c r="N673" s="2"/>
    </row>
    <row r="674" spans="2:14" x14ac:dyDescent="0.25">
      <c r="B674" s="2"/>
      <c r="C674" s="2"/>
      <c r="D674" s="2"/>
      <c r="E674" s="2"/>
      <c r="F674" s="2"/>
      <c r="G674" s="2"/>
      <c r="H674" s="2"/>
      <c r="J674" s="96"/>
      <c r="K674" s="96"/>
      <c r="M674" s="19"/>
      <c r="N674" s="2"/>
    </row>
    <row r="675" spans="2:14" x14ac:dyDescent="0.25">
      <c r="B675" s="2"/>
      <c r="C675" s="2"/>
      <c r="D675" s="2"/>
      <c r="E675" s="2"/>
      <c r="F675" s="2"/>
      <c r="G675" s="2"/>
      <c r="H675" s="2"/>
      <c r="J675" s="96"/>
      <c r="K675" s="96"/>
      <c r="M675" s="19"/>
      <c r="N675" s="2"/>
    </row>
    <row r="676" spans="2:14" x14ac:dyDescent="0.25">
      <c r="B676" s="2"/>
      <c r="C676" s="2"/>
      <c r="D676" s="2"/>
      <c r="E676" s="2"/>
      <c r="F676" s="2"/>
      <c r="G676" s="2"/>
      <c r="H676" s="2"/>
      <c r="J676" s="96"/>
      <c r="K676" s="96"/>
      <c r="M676" s="19"/>
      <c r="N676" s="2"/>
    </row>
    <row r="677" spans="2:14" x14ac:dyDescent="0.25">
      <c r="B677" s="2"/>
      <c r="C677" s="2"/>
      <c r="D677" s="2"/>
      <c r="E677" s="2"/>
      <c r="F677" s="2"/>
      <c r="G677" s="2"/>
      <c r="H677" s="2"/>
      <c r="J677" s="96"/>
      <c r="K677" s="96"/>
      <c r="M677" s="19"/>
      <c r="N677" s="2"/>
    </row>
    <row r="678" spans="2:14" x14ac:dyDescent="0.25">
      <c r="B678" s="2"/>
      <c r="C678" s="2"/>
      <c r="D678" s="2"/>
      <c r="E678" s="2"/>
      <c r="F678" s="2"/>
      <c r="G678" s="2"/>
      <c r="H678" s="2"/>
      <c r="J678" s="96"/>
      <c r="K678" s="96"/>
      <c r="M678" s="19"/>
      <c r="N678" s="2"/>
    </row>
    <row r="679" spans="2:14" x14ac:dyDescent="0.25">
      <c r="B679" s="2"/>
      <c r="C679" s="2"/>
      <c r="D679" s="2"/>
      <c r="E679" s="2"/>
      <c r="F679" s="2"/>
      <c r="G679" s="2"/>
      <c r="H679" s="2"/>
      <c r="J679" s="96"/>
      <c r="K679" s="96"/>
      <c r="M679" s="19"/>
      <c r="N679" s="2"/>
    </row>
    <row r="680" spans="2:14" x14ac:dyDescent="0.25">
      <c r="B680" s="2"/>
      <c r="C680" s="2"/>
      <c r="D680" s="2"/>
      <c r="E680" s="2"/>
      <c r="F680" s="2"/>
      <c r="G680" s="2"/>
      <c r="H680" s="2"/>
      <c r="J680" s="96"/>
      <c r="K680" s="96"/>
      <c r="M680" s="19"/>
      <c r="N680" s="2"/>
    </row>
    <row r="681" spans="2:14" x14ac:dyDescent="0.25">
      <c r="B681" s="2"/>
      <c r="C681" s="2"/>
      <c r="D681" s="2"/>
      <c r="E681" s="2"/>
      <c r="F681" s="2"/>
      <c r="G681" s="2"/>
      <c r="H681" s="2"/>
      <c r="J681" s="96"/>
      <c r="K681" s="96"/>
      <c r="M681" s="19"/>
    </row>
    <row r="682" spans="2:14" x14ac:dyDescent="0.25">
      <c r="B682" s="2"/>
      <c r="C682" s="2"/>
      <c r="D682" s="2"/>
      <c r="E682" s="2"/>
      <c r="F682" s="2"/>
      <c r="G682" s="2"/>
      <c r="H682" s="2"/>
      <c r="J682" s="96"/>
      <c r="K682" s="96"/>
      <c r="M682" s="19"/>
    </row>
    <row r="683" spans="2:14" x14ac:dyDescent="0.25">
      <c r="B683" s="2"/>
      <c r="C683" s="2"/>
      <c r="D683" s="2"/>
      <c r="E683" s="2"/>
      <c r="F683" s="2"/>
      <c r="G683" s="2"/>
      <c r="H683" s="2"/>
      <c r="J683" s="96"/>
      <c r="K683" s="96"/>
      <c r="M683" s="19"/>
    </row>
    <row r="684" spans="2:14" x14ac:dyDescent="0.25">
      <c r="B684" s="2"/>
      <c r="C684" s="2"/>
      <c r="D684" s="2"/>
      <c r="E684" s="2"/>
      <c r="F684" s="2"/>
      <c r="G684" s="2"/>
      <c r="H684" s="2"/>
      <c r="J684" s="96"/>
      <c r="K684" s="96"/>
      <c r="M684" s="19"/>
    </row>
    <row r="685" spans="2:14" x14ac:dyDescent="0.25">
      <c r="B685" s="2"/>
      <c r="C685" s="2"/>
      <c r="D685" s="2"/>
      <c r="E685" s="2"/>
      <c r="F685" s="2"/>
      <c r="G685" s="2"/>
      <c r="H685" s="2"/>
      <c r="J685" s="96"/>
      <c r="K685" s="96"/>
      <c r="M685" s="19"/>
    </row>
    <row r="686" spans="2:14" x14ac:dyDescent="0.25">
      <c r="B686" s="2"/>
      <c r="C686" s="2"/>
      <c r="D686" s="2"/>
      <c r="E686" s="2"/>
      <c r="F686" s="2"/>
      <c r="G686" s="2"/>
      <c r="H686" s="2"/>
      <c r="J686" s="96"/>
      <c r="K686" s="96"/>
      <c r="M686" s="19"/>
    </row>
    <row r="687" spans="2:14" x14ac:dyDescent="0.25">
      <c r="B687" s="2"/>
      <c r="C687" s="2"/>
      <c r="D687" s="2"/>
      <c r="E687" s="2"/>
      <c r="F687" s="2"/>
      <c r="G687" s="2"/>
      <c r="H687" s="2"/>
      <c r="J687" s="96"/>
      <c r="K687" s="96"/>
      <c r="M687" s="19"/>
    </row>
    <row r="688" spans="2:14" x14ac:dyDescent="0.25">
      <c r="B688" s="2"/>
      <c r="C688" s="2"/>
      <c r="D688" s="2"/>
      <c r="E688" s="2"/>
      <c r="F688" s="2"/>
      <c r="G688" s="2"/>
      <c r="H688" s="2"/>
      <c r="J688" s="96"/>
      <c r="K688" s="96"/>
      <c r="M688" s="19"/>
    </row>
    <row r="689" spans="2:13" x14ac:dyDescent="0.25">
      <c r="B689" s="2"/>
      <c r="C689" s="2"/>
      <c r="D689" s="2"/>
      <c r="E689" s="2"/>
      <c r="F689" s="2"/>
      <c r="G689" s="2"/>
      <c r="H689" s="2"/>
      <c r="J689" s="96"/>
      <c r="K689" s="96"/>
      <c r="M689" s="19"/>
    </row>
    <row r="690" spans="2:13" x14ac:dyDescent="0.25">
      <c r="B690" s="2"/>
      <c r="C690" s="2"/>
      <c r="D690" s="2"/>
      <c r="E690" s="2"/>
      <c r="F690" s="2"/>
      <c r="G690" s="2"/>
      <c r="H690" s="2"/>
      <c r="J690" s="96"/>
      <c r="K690" s="96"/>
      <c r="M690" s="19"/>
    </row>
    <row r="691" spans="2:13" x14ac:dyDescent="0.25">
      <c r="B691" s="2"/>
      <c r="C691" s="2"/>
      <c r="D691" s="2"/>
      <c r="E691" s="2"/>
      <c r="F691" s="2"/>
      <c r="G691" s="2"/>
      <c r="H691" s="2"/>
      <c r="J691" s="96"/>
      <c r="K691" s="96"/>
      <c r="M691" s="19"/>
    </row>
    <row r="692" spans="2:13" x14ac:dyDescent="0.25">
      <c r="B692" s="2"/>
      <c r="C692" s="2"/>
      <c r="D692" s="2"/>
      <c r="E692" s="2"/>
      <c r="F692" s="2"/>
      <c r="G692" s="2"/>
      <c r="H692" s="2"/>
      <c r="J692" s="96"/>
      <c r="K692" s="96"/>
      <c r="M692" s="19"/>
    </row>
    <row r="693" spans="2:13" x14ac:dyDescent="0.25">
      <c r="B693" s="2"/>
      <c r="C693" s="2"/>
      <c r="D693" s="2"/>
      <c r="E693" s="2"/>
      <c r="F693" s="2"/>
      <c r="G693" s="2"/>
      <c r="H693" s="2"/>
      <c r="J693" s="96"/>
      <c r="K693" s="96"/>
      <c r="M693" s="19"/>
    </row>
    <row r="694" spans="2:13" x14ac:dyDescent="0.25">
      <c r="B694" s="2"/>
      <c r="C694" s="2"/>
      <c r="D694" s="2"/>
      <c r="E694" s="2"/>
      <c r="F694" s="2"/>
      <c r="G694" s="2"/>
      <c r="H694" s="2"/>
      <c r="J694" s="96"/>
      <c r="K694" s="96"/>
      <c r="M694" s="19"/>
    </row>
    <row r="695" spans="2:13" x14ac:dyDescent="0.25">
      <c r="B695" s="2"/>
      <c r="C695" s="2"/>
      <c r="D695" s="2"/>
      <c r="E695" s="2"/>
      <c r="F695" s="2"/>
      <c r="G695" s="2"/>
      <c r="H695" s="2"/>
      <c r="J695" s="96"/>
      <c r="K695" s="96"/>
      <c r="M695" s="19"/>
    </row>
    <row r="696" spans="2:13" x14ac:dyDescent="0.25">
      <c r="B696" s="2"/>
      <c r="C696" s="2"/>
      <c r="D696" s="2"/>
      <c r="E696" s="2"/>
      <c r="F696" s="2"/>
      <c r="G696" s="2"/>
      <c r="H696" s="2"/>
      <c r="J696" s="96"/>
      <c r="K696" s="96"/>
      <c r="M696" s="19"/>
    </row>
    <row r="697" spans="2:13" x14ac:dyDescent="0.25">
      <c r="B697" s="2"/>
      <c r="C697" s="2"/>
      <c r="D697" s="2"/>
      <c r="E697" s="2"/>
      <c r="F697" s="2"/>
      <c r="G697" s="2"/>
      <c r="H697" s="2"/>
      <c r="J697" s="96"/>
      <c r="K697" s="96"/>
      <c r="M697" s="19"/>
    </row>
    <row r="698" spans="2:13" x14ac:dyDescent="0.25">
      <c r="B698" s="2"/>
      <c r="C698" s="2"/>
      <c r="D698" s="2"/>
      <c r="E698" s="2"/>
      <c r="F698" s="2"/>
      <c r="G698" s="2"/>
      <c r="H698" s="2"/>
      <c r="J698" s="96"/>
      <c r="K698" s="96"/>
      <c r="M698" s="19"/>
    </row>
    <row r="699" spans="2:13" x14ac:dyDescent="0.25">
      <c r="B699" s="2"/>
      <c r="C699" s="2"/>
      <c r="D699" s="2"/>
      <c r="E699" s="2"/>
      <c r="F699" s="2"/>
      <c r="G699" s="2"/>
      <c r="H699" s="2"/>
      <c r="J699" s="96"/>
      <c r="K699" s="96"/>
      <c r="M699" s="19"/>
    </row>
    <row r="700" spans="2:13" x14ac:dyDescent="0.25">
      <c r="B700" s="2"/>
      <c r="C700" s="2"/>
      <c r="D700" s="2"/>
      <c r="E700" s="2"/>
      <c r="F700" s="2"/>
      <c r="G700" s="2"/>
      <c r="H700" s="2"/>
      <c r="J700" s="96"/>
      <c r="K700" s="96"/>
      <c r="M700" s="19"/>
    </row>
    <row r="701" spans="2:13" x14ac:dyDescent="0.25">
      <c r="B701" s="2"/>
      <c r="C701" s="2"/>
      <c r="D701" s="2"/>
      <c r="E701" s="2"/>
      <c r="F701" s="2"/>
      <c r="G701" s="2"/>
      <c r="H701" s="2"/>
      <c r="J701" s="96"/>
      <c r="K701" s="96"/>
      <c r="M701" s="19"/>
    </row>
    <row r="702" spans="2:13" x14ac:dyDescent="0.25">
      <c r="B702" s="2"/>
      <c r="C702" s="2"/>
      <c r="D702" s="2"/>
      <c r="E702" s="2"/>
      <c r="F702" s="2"/>
      <c r="G702" s="2"/>
      <c r="H702" s="2"/>
      <c r="J702" s="96"/>
      <c r="K702" s="96"/>
      <c r="M702" s="19"/>
    </row>
    <row r="703" spans="2:13" x14ac:dyDescent="0.25">
      <c r="B703" s="2"/>
      <c r="C703" s="2"/>
      <c r="D703" s="2"/>
      <c r="E703" s="2"/>
      <c r="F703" s="2"/>
      <c r="G703" s="2"/>
      <c r="H703" s="2"/>
      <c r="J703" s="96"/>
      <c r="K703" s="96"/>
      <c r="M703" s="19"/>
    </row>
    <row r="704" spans="2:13" x14ac:dyDescent="0.25">
      <c r="B704" s="2"/>
      <c r="C704" s="2"/>
      <c r="D704" s="2"/>
      <c r="E704" s="2"/>
      <c r="F704" s="2"/>
      <c r="G704" s="2"/>
      <c r="H704" s="2"/>
      <c r="J704" s="96"/>
      <c r="K704" s="96"/>
      <c r="M704" s="19"/>
    </row>
    <row r="705" spans="2:13" x14ac:dyDescent="0.25">
      <c r="B705" s="2"/>
      <c r="C705" s="2"/>
      <c r="D705" s="2"/>
      <c r="E705" s="2"/>
      <c r="F705" s="2"/>
      <c r="G705" s="2"/>
      <c r="H705" s="2"/>
      <c r="J705" s="96"/>
      <c r="K705" s="96"/>
      <c r="M705" s="19"/>
    </row>
    <row r="706" spans="2:13" x14ac:dyDescent="0.25">
      <c r="B706" s="2"/>
      <c r="C706" s="2"/>
      <c r="D706" s="2"/>
      <c r="E706" s="2"/>
      <c r="F706" s="2"/>
      <c r="G706" s="2"/>
      <c r="H706" s="2"/>
      <c r="J706" s="96"/>
      <c r="K706" s="96"/>
      <c r="M706" s="19"/>
    </row>
    <row r="707" spans="2:13" x14ac:dyDescent="0.25">
      <c r="B707" s="2"/>
      <c r="C707" s="2"/>
      <c r="D707" s="2"/>
      <c r="E707" s="2"/>
      <c r="F707" s="2"/>
      <c r="G707" s="2"/>
      <c r="H707" s="2"/>
      <c r="J707" s="96"/>
      <c r="K707" s="96"/>
      <c r="M707" s="19"/>
    </row>
    <row r="708" spans="2:13" x14ac:dyDescent="0.25">
      <c r="B708" s="2"/>
      <c r="C708" s="2"/>
      <c r="D708" s="2"/>
      <c r="E708" s="2"/>
      <c r="F708" s="2"/>
      <c r="G708" s="2"/>
      <c r="H708" s="2"/>
      <c r="J708" s="96"/>
      <c r="K708" s="96"/>
      <c r="M708" s="19"/>
    </row>
    <row r="709" spans="2:13" x14ac:dyDescent="0.25">
      <c r="B709" s="2"/>
      <c r="C709" s="2"/>
      <c r="D709" s="2"/>
      <c r="E709" s="2"/>
      <c r="F709" s="2"/>
      <c r="G709" s="2"/>
      <c r="H709" s="2"/>
      <c r="J709" s="96"/>
      <c r="K709" s="96"/>
      <c r="M709" s="19"/>
    </row>
    <row r="710" spans="2:13" x14ac:dyDescent="0.25">
      <c r="B710" s="2"/>
      <c r="C710" s="2"/>
      <c r="D710" s="2"/>
      <c r="E710" s="2"/>
      <c r="F710" s="2"/>
      <c r="G710" s="2"/>
      <c r="H710" s="2"/>
      <c r="J710" s="96"/>
      <c r="K710" s="96"/>
      <c r="M710" s="19"/>
    </row>
    <row r="711" spans="2:13" x14ac:dyDescent="0.25">
      <c r="B711" s="2"/>
      <c r="C711" s="2"/>
      <c r="D711" s="2"/>
      <c r="E711" s="2"/>
      <c r="F711" s="2"/>
      <c r="G711" s="2"/>
      <c r="H711" s="2"/>
      <c r="J711" s="96"/>
      <c r="K711" s="96"/>
      <c r="M711" s="19"/>
    </row>
    <row r="712" spans="2:13" x14ac:dyDescent="0.25">
      <c r="B712" s="2"/>
      <c r="C712" s="2"/>
      <c r="D712" s="2"/>
      <c r="E712" s="2"/>
      <c r="F712" s="2"/>
      <c r="G712" s="2"/>
      <c r="H712" s="2"/>
      <c r="J712" s="96"/>
      <c r="K712" s="96"/>
      <c r="M712" s="19"/>
    </row>
    <row r="713" spans="2:13" x14ac:dyDescent="0.25">
      <c r="B713" s="2"/>
      <c r="C713" s="2"/>
      <c r="D713" s="2"/>
      <c r="E713" s="2"/>
      <c r="F713" s="2"/>
      <c r="G713" s="2"/>
      <c r="H713" s="2"/>
      <c r="J713" s="96"/>
      <c r="K713" s="96"/>
      <c r="M713" s="19"/>
    </row>
    <row r="714" spans="2:13" x14ac:dyDescent="0.25">
      <c r="B714" s="2"/>
      <c r="C714" s="2"/>
      <c r="D714" s="2"/>
      <c r="E714" s="2"/>
      <c r="F714" s="2"/>
      <c r="G714" s="2"/>
      <c r="H714" s="2"/>
      <c r="J714" s="96"/>
      <c r="K714" s="96"/>
      <c r="M714" s="19"/>
    </row>
    <row r="715" spans="2:13" x14ac:dyDescent="0.25">
      <c r="B715" s="2"/>
      <c r="C715" s="2"/>
      <c r="D715" s="2"/>
      <c r="E715" s="2"/>
      <c r="F715" s="2"/>
      <c r="G715" s="2"/>
      <c r="H715" s="2"/>
      <c r="J715" s="96"/>
      <c r="K715" s="96"/>
      <c r="M715" s="19"/>
    </row>
    <row r="716" spans="2:13" x14ac:dyDescent="0.25">
      <c r="B716" s="2"/>
      <c r="C716" s="2"/>
      <c r="D716" s="2"/>
      <c r="E716" s="2"/>
      <c r="F716" s="2"/>
      <c r="G716" s="2"/>
      <c r="H716" s="2"/>
      <c r="J716" s="96"/>
      <c r="K716" s="96"/>
      <c r="M716" s="19"/>
    </row>
    <row r="717" spans="2:13" x14ac:dyDescent="0.25">
      <c r="B717" s="2"/>
      <c r="C717" s="2"/>
      <c r="D717" s="2"/>
      <c r="E717" s="2"/>
      <c r="F717" s="2"/>
      <c r="G717" s="2"/>
      <c r="H717" s="2"/>
      <c r="J717" s="96"/>
      <c r="K717" s="96"/>
      <c r="M717" s="19"/>
    </row>
    <row r="718" spans="2:13" x14ac:dyDescent="0.25">
      <c r="B718" s="2"/>
      <c r="C718" s="2"/>
      <c r="D718" s="2"/>
      <c r="E718" s="2"/>
      <c r="F718" s="2"/>
      <c r="G718" s="2"/>
      <c r="H718" s="2"/>
      <c r="J718" s="96"/>
      <c r="K718" s="96"/>
      <c r="M718" s="19"/>
    </row>
    <row r="719" spans="2:13" x14ac:dyDescent="0.25">
      <c r="B719" s="2"/>
      <c r="C719" s="2"/>
      <c r="D719" s="2"/>
      <c r="E719" s="2"/>
      <c r="F719" s="2"/>
      <c r="G719" s="2"/>
      <c r="H719" s="2"/>
      <c r="J719" s="96"/>
      <c r="K719" s="96"/>
      <c r="M719" s="19"/>
    </row>
    <row r="720" spans="2:13" x14ac:dyDescent="0.25">
      <c r="B720" s="2"/>
      <c r="C720" s="2"/>
      <c r="D720" s="2"/>
      <c r="E720" s="2"/>
      <c r="F720" s="2"/>
      <c r="G720" s="2"/>
      <c r="H720" s="2"/>
      <c r="J720" s="96"/>
      <c r="K720" s="96"/>
      <c r="M720" s="19"/>
    </row>
    <row r="721" spans="2:13" x14ac:dyDescent="0.25">
      <c r="B721" s="2"/>
      <c r="C721" s="2"/>
      <c r="D721" s="2"/>
      <c r="E721" s="2"/>
      <c r="F721" s="2"/>
      <c r="G721" s="2"/>
      <c r="H721" s="2"/>
      <c r="J721" s="96"/>
      <c r="K721" s="96"/>
      <c r="M721" s="19"/>
    </row>
    <row r="722" spans="2:13" x14ac:dyDescent="0.25">
      <c r="B722" s="2"/>
      <c r="C722" s="2"/>
      <c r="D722" s="2"/>
      <c r="E722" s="2"/>
      <c r="F722" s="2"/>
      <c r="G722" s="2"/>
      <c r="H722" s="2"/>
      <c r="J722" s="96"/>
      <c r="K722" s="96"/>
      <c r="M722" s="19"/>
    </row>
    <row r="723" spans="2:13" x14ac:dyDescent="0.25">
      <c r="B723" s="2"/>
      <c r="C723" s="2"/>
      <c r="D723" s="2"/>
      <c r="E723" s="2"/>
      <c r="F723" s="2"/>
      <c r="G723" s="2"/>
      <c r="H723" s="2"/>
      <c r="J723" s="96"/>
      <c r="K723" s="96"/>
      <c r="M723" s="19"/>
    </row>
    <row r="724" spans="2:13" x14ac:dyDescent="0.25">
      <c r="B724" s="2"/>
      <c r="C724" s="2"/>
      <c r="D724" s="2"/>
      <c r="E724" s="2"/>
      <c r="F724" s="2"/>
      <c r="G724" s="2"/>
      <c r="H724" s="2"/>
      <c r="J724" s="96"/>
      <c r="K724" s="96"/>
      <c r="M724" s="19"/>
    </row>
    <row r="725" spans="2:13" x14ac:dyDescent="0.25">
      <c r="B725" s="2"/>
      <c r="C725" s="2"/>
      <c r="D725" s="2"/>
      <c r="E725" s="2"/>
      <c r="F725" s="2"/>
      <c r="G725" s="2"/>
      <c r="H725" s="2"/>
      <c r="J725" s="96"/>
      <c r="K725" s="96"/>
      <c r="M725" s="19"/>
    </row>
    <row r="726" spans="2:13" x14ac:dyDescent="0.25">
      <c r="B726" s="2"/>
      <c r="C726" s="2"/>
      <c r="D726" s="2"/>
      <c r="E726" s="2"/>
      <c r="F726" s="2"/>
      <c r="G726" s="2"/>
      <c r="H726" s="2"/>
      <c r="J726" s="96"/>
      <c r="K726" s="96"/>
      <c r="M726" s="19"/>
    </row>
    <row r="727" spans="2:13" x14ac:dyDescent="0.25">
      <c r="B727" s="2"/>
      <c r="C727" s="2"/>
      <c r="D727" s="2"/>
      <c r="E727" s="2"/>
      <c r="F727" s="2"/>
      <c r="G727" s="2"/>
      <c r="H727" s="2"/>
      <c r="J727" s="96"/>
      <c r="K727" s="96"/>
      <c r="M727" s="19"/>
    </row>
    <row r="728" spans="2:13" x14ac:dyDescent="0.25">
      <c r="B728" s="2"/>
      <c r="C728" s="2"/>
      <c r="D728" s="2"/>
      <c r="E728" s="2"/>
      <c r="F728" s="2"/>
      <c r="G728" s="2"/>
      <c r="H728" s="2"/>
      <c r="J728" s="96"/>
      <c r="K728" s="96"/>
      <c r="M728" s="19"/>
    </row>
    <row r="729" spans="2:13" x14ac:dyDescent="0.25">
      <c r="B729" s="2"/>
      <c r="C729" s="2"/>
      <c r="D729" s="2"/>
      <c r="E729" s="2"/>
      <c r="F729" s="2"/>
      <c r="G729" s="2"/>
      <c r="H729" s="2"/>
      <c r="J729" s="96"/>
      <c r="K729" s="96"/>
      <c r="M729" s="19"/>
    </row>
    <row r="730" spans="2:13" x14ac:dyDescent="0.25">
      <c r="B730" s="2"/>
      <c r="C730" s="2"/>
      <c r="D730" s="2"/>
      <c r="E730" s="2"/>
      <c r="F730" s="2"/>
      <c r="G730" s="2"/>
      <c r="H730" s="2"/>
      <c r="J730" s="96"/>
      <c r="K730" s="96"/>
      <c r="M730" s="19"/>
    </row>
    <row r="731" spans="2:13" x14ac:dyDescent="0.25">
      <c r="B731" s="2"/>
      <c r="C731" s="2"/>
      <c r="D731" s="2"/>
      <c r="E731" s="2"/>
      <c r="F731" s="2"/>
      <c r="G731" s="2"/>
      <c r="H731" s="2"/>
      <c r="J731" s="96"/>
      <c r="K731" s="96"/>
      <c r="M731" s="19"/>
    </row>
    <row r="732" spans="2:13" x14ac:dyDescent="0.25">
      <c r="B732" s="2"/>
      <c r="C732" s="2"/>
      <c r="D732" s="2"/>
      <c r="E732" s="2"/>
      <c r="F732" s="2"/>
      <c r="G732" s="2"/>
      <c r="H732" s="2"/>
      <c r="J732" s="96"/>
      <c r="K732" s="96"/>
      <c r="M732" s="19"/>
    </row>
    <row r="733" spans="2:13" x14ac:dyDescent="0.25">
      <c r="B733" s="2"/>
      <c r="C733" s="2"/>
      <c r="D733" s="2"/>
      <c r="E733" s="2"/>
      <c r="F733" s="2"/>
      <c r="G733" s="2"/>
      <c r="H733" s="2"/>
      <c r="J733" s="96"/>
      <c r="K733" s="96"/>
      <c r="M733" s="19"/>
    </row>
    <row r="734" spans="2:13" x14ac:dyDescent="0.25">
      <c r="B734" s="2"/>
      <c r="C734" s="2"/>
      <c r="D734" s="2"/>
      <c r="E734" s="2"/>
      <c r="F734" s="2"/>
      <c r="G734" s="2"/>
      <c r="H734" s="2"/>
      <c r="J734" s="96"/>
      <c r="K734" s="96"/>
      <c r="M734" s="19"/>
    </row>
    <row r="735" spans="2:13" x14ac:dyDescent="0.25">
      <c r="B735" s="2"/>
      <c r="C735" s="2"/>
      <c r="D735" s="2"/>
      <c r="E735" s="2"/>
      <c r="F735" s="2"/>
      <c r="G735" s="2"/>
      <c r="H735" s="2"/>
      <c r="J735" s="96"/>
      <c r="K735" s="96"/>
      <c r="M735" s="19"/>
    </row>
    <row r="736" spans="2:13" x14ac:dyDescent="0.25">
      <c r="B736" s="2"/>
      <c r="C736" s="2"/>
      <c r="D736" s="2"/>
      <c r="E736" s="2"/>
      <c r="F736" s="2"/>
      <c r="G736" s="2"/>
      <c r="H736" s="2"/>
      <c r="J736" s="96"/>
      <c r="K736" s="96"/>
      <c r="M736" s="19"/>
    </row>
    <row r="737" spans="2:13" x14ac:dyDescent="0.25">
      <c r="B737" s="2"/>
      <c r="C737" s="2"/>
      <c r="D737" s="2"/>
      <c r="E737" s="2"/>
      <c r="F737" s="2"/>
      <c r="G737" s="2"/>
      <c r="H737" s="2"/>
      <c r="J737" s="96"/>
      <c r="K737" s="96"/>
      <c r="M737" s="19"/>
    </row>
    <row r="738" spans="2:13" x14ac:dyDescent="0.25">
      <c r="B738" s="2"/>
      <c r="C738" s="2"/>
      <c r="D738" s="2"/>
      <c r="E738" s="2"/>
      <c r="F738" s="2"/>
      <c r="G738" s="2"/>
      <c r="H738" s="2"/>
      <c r="J738" s="96"/>
      <c r="K738" s="96"/>
      <c r="M738" s="19"/>
    </row>
    <row r="739" spans="2:13" x14ac:dyDescent="0.25">
      <c r="B739" s="2"/>
      <c r="C739" s="2"/>
      <c r="D739" s="2"/>
      <c r="E739" s="2"/>
      <c r="F739" s="2"/>
      <c r="G739" s="2"/>
      <c r="H739" s="2"/>
      <c r="J739" s="96"/>
      <c r="K739" s="96"/>
      <c r="M739" s="19"/>
    </row>
    <row r="740" spans="2:13" x14ac:dyDescent="0.25">
      <c r="B740" s="2"/>
      <c r="C740" s="2"/>
      <c r="D740" s="2"/>
      <c r="E740" s="2"/>
      <c r="F740" s="2"/>
      <c r="G740" s="2"/>
      <c r="H740" s="2"/>
      <c r="J740" s="96"/>
      <c r="K740" s="96"/>
      <c r="M740" s="19"/>
    </row>
    <row r="741" spans="2:13" x14ac:dyDescent="0.25">
      <c r="B741" s="2"/>
      <c r="C741" s="2"/>
      <c r="D741" s="2"/>
      <c r="E741" s="2"/>
      <c r="F741" s="2"/>
      <c r="G741" s="2"/>
      <c r="H741" s="2"/>
      <c r="J741" s="96"/>
      <c r="K741" s="96"/>
      <c r="M741" s="19"/>
    </row>
    <row r="742" spans="2:13" x14ac:dyDescent="0.25">
      <c r="B742" s="2"/>
      <c r="C742" s="2"/>
      <c r="D742" s="2"/>
      <c r="E742" s="2"/>
      <c r="F742" s="2"/>
      <c r="G742" s="2"/>
      <c r="H742" s="2"/>
      <c r="J742" s="96"/>
      <c r="K742" s="96"/>
      <c r="M742" s="19"/>
    </row>
    <row r="743" spans="2:13" x14ac:dyDescent="0.25">
      <c r="B743" s="2"/>
      <c r="C743" s="2"/>
      <c r="D743" s="2"/>
      <c r="E743" s="2"/>
      <c r="F743" s="2"/>
      <c r="G743" s="2"/>
      <c r="H743" s="2"/>
      <c r="J743" s="96"/>
      <c r="K743" s="96"/>
      <c r="M743" s="19"/>
    </row>
    <row r="744" spans="2:13" x14ac:dyDescent="0.25">
      <c r="B744" s="2"/>
      <c r="C744" s="2"/>
      <c r="D744" s="2"/>
      <c r="E744" s="2"/>
      <c r="F744" s="2"/>
      <c r="G744" s="2"/>
      <c r="H744" s="2"/>
      <c r="J744" s="96"/>
      <c r="K744" s="96"/>
      <c r="M744" s="19"/>
    </row>
    <row r="745" spans="2:13" x14ac:dyDescent="0.25">
      <c r="B745" s="2"/>
      <c r="C745" s="2"/>
      <c r="D745" s="2"/>
      <c r="E745" s="2"/>
      <c r="F745" s="2"/>
      <c r="G745" s="2"/>
      <c r="H745" s="2"/>
      <c r="J745" s="96"/>
      <c r="K745" s="96"/>
      <c r="M745" s="19"/>
    </row>
    <row r="746" spans="2:13" x14ac:dyDescent="0.25">
      <c r="B746" s="2"/>
      <c r="C746" s="2"/>
      <c r="D746" s="2"/>
      <c r="E746" s="2"/>
      <c r="F746" s="2"/>
      <c r="G746" s="2"/>
      <c r="H746" s="2"/>
      <c r="J746" s="96"/>
      <c r="K746" s="96"/>
      <c r="M746" s="19"/>
    </row>
    <row r="747" spans="2:13" x14ac:dyDescent="0.25">
      <c r="B747" s="2"/>
      <c r="C747" s="2"/>
      <c r="D747" s="2"/>
      <c r="E747" s="2"/>
      <c r="F747" s="2"/>
      <c r="G747" s="2"/>
      <c r="H747" s="2"/>
      <c r="J747" s="96"/>
      <c r="K747" s="96"/>
      <c r="M747" s="19"/>
    </row>
    <row r="748" spans="2:13" x14ac:dyDescent="0.25">
      <c r="B748" s="2"/>
      <c r="C748" s="2"/>
      <c r="D748" s="2"/>
      <c r="E748" s="2"/>
      <c r="F748" s="2"/>
      <c r="G748" s="2"/>
      <c r="H748" s="2"/>
      <c r="J748" s="96"/>
      <c r="K748" s="96"/>
      <c r="M748" s="19"/>
    </row>
    <row r="749" spans="2:13" x14ac:dyDescent="0.25">
      <c r="B749" s="2"/>
      <c r="C749" s="2"/>
      <c r="D749" s="2"/>
      <c r="E749" s="2"/>
      <c r="F749" s="2"/>
      <c r="G749" s="2"/>
      <c r="H749" s="2"/>
      <c r="J749" s="96"/>
      <c r="K749" s="96"/>
      <c r="M749" s="19"/>
    </row>
    <row r="750" spans="2:13" x14ac:dyDescent="0.25">
      <c r="B750" s="2"/>
      <c r="C750" s="2"/>
      <c r="D750" s="2"/>
      <c r="E750" s="2"/>
      <c r="F750" s="2"/>
      <c r="G750" s="2"/>
      <c r="H750" s="2"/>
      <c r="J750" s="96"/>
      <c r="K750" s="96"/>
      <c r="M750" s="19"/>
    </row>
    <row r="751" spans="2:13" x14ac:dyDescent="0.25">
      <c r="B751" s="2"/>
      <c r="C751" s="2"/>
      <c r="D751" s="2"/>
      <c r="E751" s="2"/>
      <c r="F751" s="2"/>
      <c r="G751" s="2"/>
      <c r="H751" s="2"/>
      <c r="J751" s="96"/>
      <c r="K751" s="96"/>
      <c r="M751" s="19"/>
    </row>
    <row r="752" spans="2:13" x14ac:dyDescent="0.25">
      <c r="B752" s="2"/>
      <c r="C752" s="2"/>
      <c r="D752" s="2"/>
      <c r="E752" s="2"/>
      <c r="F752" s="2"/>
      <c r="G752" s="2"/>
      <c r="H752" s="2"/>
      <c r="J752" s="96"/>
      <c r="K752" s="96"/>
      <c r="M752" s="19"/>
    </row>
    <row r="753" spans="2:13" x14ac:dyDescent="0.25">
      <c r="B753" s="2"/>
      <c r="C753" s="2"/>
      <c r="D753" s="2"/>
      <c r="E753" s="2"/>
      <c r="F753" s="2"/>
      <c r="G753" s="2"/>
      <c r="H753" s="2"/>
      <c r="J753" s="96"/>
      <c r="K753" s="96"/>
      <c r="M753" s="19"/>
    </row>
    <row r="754" spans="2:13" x14ac:dyDescent="0.25">
      <c r="B754" s="2"/>
      <c r="C754" s="2"/>
      <c r="D754" s="2"/>
      <c r="E754" s="2"/>
      <c r="F754" s="2"/>
      <c r="G754" s="2"/>
      <c r="H754" s="2"/>
      <c r="J754" s="96"/>
      <c r="K754" s="96"/>
      <c r="M754" s="19"/>
    </row>
    <row r="755" spans="2:13" x14ac:dyDescent="0.25">
      <c r="B755" s="2"/>
      <c r="C755" s="2"/>
      <c r="D755" s="2"/>
      <c r="E755" s="2"/>
      <c r="F755" s="2"/>
      <c r="G755" s="2"/>
      <c r="H755" s="2"/>
      <c r="J755" s="96"/>
      <c r="K755" s="96"/>
      <c r="M755" s="19"/>
    </row>
    <row r="756" spans="2:13" x14ac:dyDescent="0.25">
      <c r="B756" s="2"/>
      <c r="C756" s="2"/>
      <c r="D756" s="2"/>
      <c r="E756" s="2"/>
      <c r="F756" s="2"/>
      <c r="G756" s="2"/>
      <c r="H756" s="2"/>
      <c r="J756" s="96"/>
      <c r="K756" s="96"/>
      <c r="M756" s="19"/>
    </row>
    <row r="757" spans="2:13" x14ac:dyDescent="0.25">
      <c r="B757" s="2"/>
      <c r="C757" s="2"/>
      <c r="D757" s="2"/>
      <c r="E757" s="2"/>
      <c r="F757" s="2"/>
      <c r="G757" s="2"/>
      <c r="H757" s="2"/>
      <c r="J757" s="96"/>
      <c r="K757" s="96"/>
      <c r="M757" s="19"/>
    </row>
    <row r="758" spans="2:13" x14ac:dyDescent="0.25">
      <c r="B758" s="2"/>
      <c r="C758" s="2"/>
      <c r="D758" s="2"/>
      <c r="E758" s="2"/>
      <c r="F758" s="2"/>
      <c r="G758" s="2"/>
      <c r="H758" s="2"/>
      <c r="J758" s="96"/>
      <c r="K758" s="96"/>
      <c r="M758" s="19"/>
    </row>
    <row r="759" spans="2:13" x14ac:dyDescent="0.25">
      <c r="B759" s="2"/>
      <c r="C759" s="2"/>
      <c r="D759" s="2"/>
      <c r="E759" s="2"/>
      <c r="F759" s="2"/>
      <c r="G759" s="2"/>
      <c r="H759" s="2"/>
      <c r="J759" s="96"/>
      <c r="K759" s="96"/>
      <c r="M759" s="19"/>
    </row>
    <row r="760" spans="2:13" x14ac:dyDescent="0.25">
      <c r="B760" s="2"/>
      <c r="C760" s="2"/>
      <c r="D760" s="2"/>
      <c r="E760" s="2"/>
      <c r="F760" s="2"/>
      <c r="G760" s="2"/>
      <c r="H760" s="2"/>
      <c r="J760" s="96"/>
      <c r="K760" s="96"/>
      <c r="M760" s="19"/>
    </row>
    <row r="761" spans="2:13" x14ac:dyDescent="0.25">
      <c r="B761" s="2"/>
      <c r="C761" s="2"/>
      <c r="D761" s="2"/>
      <c r="E761" s="2"/>
      <c r="F761" s="2"/>
      <c r="G761" s="2"/>
      <c r="H761" s="2"/>
      <c r="J761" s="96"/>
      <c r="K761" s="96"/>
      <c r="M761" s="19"/>
    </row>
    <row r="762" spans="2:13" x14ac:dyDescent="0.25">
      <c r="B762" s="2"/>
      <c r="C762" s="2"/>
      <c r="D762" s="2"/>
      <c r="E762" s="2"/>
      <c r="F762" s="2"/>
      <c r="G762" s="2"/>
      <c r="H762" s="2"/>
      <c r="J762" s="96"/>
      <c r="K762" s="96"/>
      <c r="M762" s="19"/>
    </row>
    <row r="763" spans="2:13" x14ac:dyDescent="0.25">
      <c r="B763" s="2"/>
      <c r="C763" s="2"/>
      <c r="D763" s="2"/>
      <c r="E763" s="2"/>
      <c r="F763" s="2"/>
      <c r="G763" s="2"/>
      <c r="H763" s="2"/>
      <c r="J763" s="96"/>
      <c r="K763" s="96"/>
      <c r="M763" s="19"/>
    </row>
    <row r="764" spans="2:13" x14ac:dyDescent="0.25">
      <c r="B764" s="2"/>
      <c r="C764" s="2"/>
      <c r="D764" s="2"/>
      <c r="E764" s="2"/>
      <c r="F764" s="2"/>
      <c r="G764" s="2"/>
      <c r="H764" s="2"/>
      <c r="J764" s="96"/>
      <c r="K764" s="96"/>
      <c r="M764" s="19"/>
    </row>
    <row r="765" spans="2:13" x14ac:dyDescent="0.25">
      <c r="B765" s="2"/>
      <c r="C765" s="2"/>
      <c r="D765" s="2"/>
      <c r="E765" s="2"/>
      <c r="F765" s="2"/>
      <c r="G765" s="2"/>
      <c r="H765" s="2"/>
      <c r="J765" s="96"/>
      <c r="K765" s="96"/>
      <c r="M765" s="19"/>
    </row>
    <row r="766" spans="2:13" x14ac:dyDescent="0.25">
      <c r="B766" s="2"/>
      <c r="C766" s="2"/>
      <c r="D766" s="2"/>
      <c r="E766" s="2"/>
      <c r="F766" s="2"/>
      <c r="G766" s="2"/>
      <c r="H766" s="2"/>
      <c r="J766" s="96"/>
      <c r="K766" s="96"/>
      <c r="M766" s="19"/>
    </row>
    <row r="767" spans="2:13" x14ac:dyDescent="0.25">
      <c r="B767" s="2"/>
      <c r="C767" s="2"/>
      <c r="D767" s="2"/>
      <c r="E767" s="2"/>
      <c r="F767" s="2"/>
      <c r="G767" s="2"/>
      <c r="H767" s="2"/>
      <c r="J767" s="96"/>
      <c r="K767" s="96"/>
      <c r="M767" s="19"/>
    </row>
    <row r="768" spans="2:13" x14ac:dyDescent="0.25">
      <c r="B768" s="2"/>
      <c r="C768" s="2"/>
      <c r="D768" s="2"/>
      <c r="E768" s="2"/>
      <c r="F768" s="2"/>
      <c r="G768" s="2"/>
      <c r="H768" s="2"/>
      <c r="J768" s="96"/>
      <c r="K768" s="96"/>
      <c r="M768" s="19"/>
    </row>
    <row r="769" spans="2:13" x14ac:dyDescent="0.25">
      <c r="B769" s="2"/>
      <c r="C769" s="2"/>
      <c r="D769" s="2"/>
      <c r="E769" s="2"/>
      <c r="F769" s="2"/>
      <c r="G769" s="2"/>
      <c r="H769" s="2"/>
      <c r="J769" s="96"/>
      <c r="K769" s="96"/>
      <c r="M769" s="19"/>
    </row>
    <row r="770" spans="2:13" x14ac:dyDescent="0.25">
      <c r="B770" s="2"/>
      <c r="C770" s="2"/>
      <c r="D770" s="2"/>
      <c r="E770" s="2"/>
      <c r="F770" s="2"/>
      <c r="G770" s="2"/>
      <c r="H770" s="2"/>
      <c r="J770" s="96"/>
      <c r="K770" s="96"/>
      <c r="M770" s="19"/>
    </row>
    <row r="771" spans="2:13" x14ac:dyDescent="0.25">
      <c r="B771" s="2"/>
      <c r="C771" s="2"/>
      <c r="D771" s="2"/>
      <c r="E771" s="2"/>
      <c r="F771" s="2"/>
      <c r="G771" s="2"/>
      <c r="H771" s="2"/>
      <c r="J771" s="96"/>
      <c r="K771" s="96"/>
      <c r="M771" s="19"/>
    </row>
    <row r="772" spans="2:13" x14ac:dyDescent="0.25">
      <c r="B772" s="2"/>
      <c r="C772" s="2"/>
      <c r="D772" s="2"/>
      <c r="E772" s="2"/>
      <c r="F772" s="2"/>
      <c r="G772" s="2"/>
      <c r="H772" s="2"/>
      <c r="J772" s="96"/>
      <c r="K772" s="96"/>
      <c r="M772" s="19"/>
    </row>
    <row r="773" spans="2:13" x14ac:dyDescent="0.25">
      <c r="B773" s="2"/>
      <c r="C773" s="2"/>
      <c r="D773" s="2"/>
      <c r="E773" s="2"/>
      <c r="F773" s="2"/>
      <c r="G773" s="2"/>
      <c r="H773" s="2"/>
      <c r="J773" s="96"/>
      <c r="K773" s="96"/>
      <c r="M773" s="19"/>
    </row>
    <row r="774" spans="2:13" x14ac:dyDescent="0.25">
      <c r="B774" s="2"/>
      <c r="C774" s="2"/>
      <c r="D774" s="2"/>
      <c r="E774" s="2"/>
      <c r="F774" s="2"/>
      <c r="G774" s="2"/>
      <c r="H774" s="2"/>
      <c r="J774" s="96"/>
      <c r="K774" s="96"/>
      <c r="M774" s="19"/>
    </row>
    <row r="775" spans="2:13" x14ac:dyDescent="0.25">
      <c r="B775" s="2"/>
      <c r="C775" s="2"/>
      <c r="D775" s="2"/>
      <c r="E775" s="2"/>
      <c r="F775" s="2"/>
      <c r="G775" s="2"/>
      <c r="H775" s="2"/>
      <c r="J775" s="96"/>
      <c r="K775" s="96"/>
      <c r="M775" s="19"/>
    </row>
    <row r="776" spans="2:13" x14ac:dyDescent="0.25">
      <c r="B776" s="2"/>
      <c r="C776" s="2"/>
      <c r="D776" s="2"/>
      <c r="E776" s="2"/>
      <c r="F776" s="2"/>
      <c r="G776" s="2"/>
      <c r="H776" s="2"/>
      <c r="J776" s="96"/>
      <c r="K776" s="96"/>
      <c r="M776" s="19"/>
    </row>
    <row r="777" spans="2:13" x14ac:dyDescent="0.25">
      <c r="B777" s="2"/>
      <c r="C777" s="2"/>
      <c r="D777" s="2"/>
      <c r="E777" s="2"/>
      <c r="F777" s="2"/>
      <c r="G777" s="2"/>
      <c r="H777" s="2"/>
      <c r="J777" s="96"/>
      <c r="K777" s="96"/>
      <c r="M777" s="19"/>
    </row>
    <row r="778" spans="2:13" x14ac:dyDescent="0.25">
      <c r="B778" s="2"/>
      <c r="C778" s="2"/>
      <c r="D778" s="2"/>
      <c r="E778" s="2"/>
      <c r="F778" s="2"/>
      <c r="G778" s="2"/>
      <c r="H778" s="2"/>
      <c r="J778" s="96"/>
      <c r="K778" s="96"/>
      <c r="M778" s="19"/>
    </row>
    <row r="779" spans="2:13" x14ac:dyDescent="0.25">
      <c r="B779" s="2"/>
      <c r="C779" s="2"/>
      <c r="D779" s="2"/>
      <c r="E779" s="2"/>
      <c r="F779" s="2"/>
      <c r="G779" s="2"/>
      <c r="H779" s="2"/>
      <c r="J779" s="96"/>
      <c r="K779" s="96"/>
      <c r="M779" s="19"/>
    </row>
    <row r="780" spans="2:13" x14ac:dyDescent="0.25">
      <c r="B780" s="2"/>
      <c r="C780" s="2"/>
      <c r="D780" s="2"/>
      <c r="E780" s="2"/>
      <c r="F780" s="2"/>
      <c r="G780" s="2"/>
      <c r="H780" s="2"/>
      <c r="J780" s="96"/>
      <c r="K780" s="96"/>
      <c r="M780" s="19"/>
    </row>
    <row r="781" spans="2:13" x14ac:dyDescent="0.25">
      <c r="B781" s="2"/>
      <c r="C781" s="2"/>
      <c r="D781" s="2"/>
      <c r="E781" s="2"/>
      <c r="F781" s="2"/>
      <c r="G781" s="2"/>
      <c r="H781" s="2"/>
      <c r="J781" s="96"/>
      <c r="K781" s="96"/>
      <c r="M781" s="19"/>
    </row>
    <row r="782" spans="2:13" x14ac:dyDescent="0.25">
      <c r="B782" s="2"/>
      <c r="C782" s="2"/>
      <c r="D782" s="2"/>
      <c r="E782" s="2"/>
      <c r="F782" s="2"/>
      <c r="G782" s="2"/>
      <c r="H782" s="2"/>
      <c r="J782" s="96"/>
      <c r="K782" s="96"/>
      <c r="M782" s="19"/>
    </row>
    <row r="783" spans="2:13" x14ac:dyDescent="0.25">
      <c r="B783" s="2"/>
      <c r="C783" s="2"/>
      <c r="D783" s="2"/>
      <c r="E783" s="2"/>
      <c r="F783" s="2"/>
      <c r="G783" s="2"/>
      <c r="H783" s="2"/>
      <c r="J783" s="96"/>
      <c r="K783" s="96"/>
      <c r="M783" s="19"/>
    </row>
    <row r="784" spans="2:13" x14ac:dyDescent="0.25">
      <c r="B784" s="2"/>
      <c r="C784" s="2"/>
      <c r="D784" s="2"/>
      <c r="E784" s="2"/>
      <c r="F784" s="2"/>
      <c r="G784" s="2"/>
      <c r="H784" s="2"/>
      <c r="J784" s="96"/>
      <c r="K784" s="96"/>
      <c r="M784" s="19"/>
    </row>
    <row r="785" spans="2:13" x14ac:dyDescent="0.25">
      <c r="B785" s="2"/>
      <c r="C785" s="2"/>
      <c r="D785" s="2"/>
      <c r="E785" s="2"/>
      <c r="F785" s="2"/>
      <c r="G785" s="2"/>
      <c r="H785" s="2"/>
      <c r="J785" s="96"/>
      <c r="K785" s="96"/>
      <c r="M785" s="19"/>
    </row>
    <row r="786" spans="2:13" x14ac:dyDescent="0.25">
      <c r="B786" s="2"/>
      <c r="C786" s="2"/>
      <c r="D786" s="2"/>
      <c r="E786" s="2"/>
      <c r="F786" s="2"/>
      <c r="G786" s="2"/>
      <c r="H786" s="2"/>
      <c r="J786" s="96"/>
      <c r="K786" s="96"/>
      <c r="M786" s="19"/>
    </row>
    <row r="787" spans="2:13" x14ac:dyDescent="0.25">
      <c r="B787" s="2"/>
      <c r="C787" s="2"/>
      <c r="D787" s="2"/>
      <c r="E787" s="2"/>
      <c r="F787" s="2"/>
      <c r="G787" s="2"/>
      <c r="H787" s="2"/>
      <c r="J787" s="96"/>
      <c r="K787" s="96"/>
      <c r="M787" s="19"/>
    </row>
    <row r="788" spans="2:13" x14ac:dyDescent="0.25">
      <c r="B788" s="2"/>
      <c r="C788" s="2"/>
      <c r="D788" s="2"/>
      <c r="E788" s="2"/>
      <c r="F788" s="2"/>
      <c r="G788" s="2"/>
      <c r="H788" s="2"/>
      <c r="J788" s="96"/>
      <c r="K788" s="96"/>
      <c r="M788" s="19"/>
    </row>
    <row r="789" spans="2:13" x14ac:dyDescent="0.25">
      <c r="B789" s="2"/>
      <c r="C789" s="2"/>
      <c r="D789" s="2"/>
      <c r="E789" s="2"/>
      <c r="F789" s="2"/>
      <c r="G789" s="2"/>
      <c r="H789" s="2"/>
      <c r="J789" s="96"/>
      <c r="K789" s="96"/>
      <c r="M789" s="19"/>
    </row>
    <row r="790" spans="2:13" x14ac:dyDescent="0.25">
      <c r="B790" s="2"/>
      <c r="C790" s="2"/>
      <c r="D790" s="2"/>
      <c r="E790" s="2"/>
      <c r="F790" s="2"/>
      <c r="G790" s="2"/>
      <c r="H790" s="2"/>
      <c r="J790" s="96"/>
      <c r="K790" s="96"/>
      <c r="M790" s="19"/>
    </row>
    <row r="791" spans="2:13" x14ac:dyDescent="0.25">
      <c r="B791" s="2"/>
      <c r="C791" s="2"/>
      <c r="D791" s="2"/>
      <c r="E791" s="2"/>
      <c r="F791" s="2"/>
      <c r="G791" s="2"/>
      <c r="H791" s="2"/>
      <c r="J791" s="96"/>
      <c r="K791" s="96"/>
      <c r="M791" s="19"/>
    </row>
    <row r="792" spans="2:13" x14ac:dyDescent="0.25">
      <c r="B792" s="2"/>
      <c r="C792" s="2"/>
      <c r="D792" s="2"/>
      <c r="E792" s="2"/>
      <c r="F792" s="2"/>
      <c r="G792" s="2"/>
      <c r="H792" s="2"/>
      <c r="J792" s="96"/>
      <c r="K792" s="96"/>
      <c r="M792" s="19"/>
    </row>
    <row r="793" spans="2:13" x14ac:dyDescent="0.25">
      <c r="B793" s="2"/>
      <c r="C793" s="2"/>
      <c r="D793" s="2"/>
      <c r="E793" s="2"/>
      <c r="F793" s="2"/>
      <c r="G793" s="2"/>
      <c r="H793" s="2"/>
      <c r="J793" s="96"/>
      <c r="K793" s="96"/>
      <c r="M793" s="19"/>
    </row>
    <row r="794" spans="2:13" x14ac:dyDescent="0.25">
      <c r="B794" s="2"/>
      <c r="C794" s="2"/>
      <c r="D794" s="2"/>
      <c r="E794" s="2"/>
      <c r="F794" s="2"/>
      <c r="G794" s="2"/>
      <c r="H794" s="2"/>
      <c r="J794" s="96"/>
      <c r="K794" s="96"/>
      <c r="M794" s="19"/>
    </row>
    <row r="795" spans="2:13" x14ac:dyDescent="0.25">
      <c r="B795" s="2"/>
      <c r="C795" s="2"/>
      <c r="D795" s="2"/>
      <c r="E795" s="2"/>
      <c r="F795" s="2"/>
      <c r="G795" s="2"/>
      <c r="H795" s="2"/>
      <c r="J795" s="96"/>
      <c r="K795" s="96"/>
      <c r="M795" s="19"/>
    </row>
    <row r="796" spans="2:13" x14ac:dyDescent="0.25">
      <c r="B796" s="2"/>
      <c r="C796" s="2"/>
      <c r="D796" s="2"/>
      <c r="E796" s="2"/>
      <c r="F796" s="2"/>
      <c r="G796" s="2"/>
      <c r="H796" s="2"/>
      <c r="J796" s="96"/>
      <c r="K796" s="96"/>
      <c r="M796" s="19"/>
    </row>
    <row r="797" spans="2:13" x14ac:dyDescent="0.25">
      <c r="B797" s="2"/>
      <c r="C797" s="2"/>
      <c r="D797" s="2"/>
      <c r="E797" s="2"/>
      <c r="F797" s="2"/>
      <c r="G797" s="2"/>
      <c r="H797" s="2"/>
      <c r="J797" s="96"/>
      <c r="K797" s="96"/>
      <c r="M797" s="19"/>
    </row>
    <row r="798" spans="2:13" x14ac:dyDescent="0.25">
      <c r="B798" s="2"/>
      <c r="C798" s="2"/>
      <c r="D798" s="2"/>
      <c r="E798" s="2"/>
      <c r="F798" s="2"/>
      <c r="G798" s="2"/>
      <c r="H798" s="2"/>
      <c r="J798" s="96"/>
      <c r="K798" s="96"/>
      <c r="M798" s="19"/>
    </row>
    <row r="799" spans="2:13" x14ac:dyDescent="0.25">
      <c r="B799" s="2"/>
      <c r="C799" s="2"/>
      <c r="D799" s="2"/>
      <c r="E799" s="2"/>
      <c r="F799" s="2"/>
      <c r="G799" s="2"/>
      <c r="H799" s="2"/>
      <c r="J799" s="96"/>
      <c r="K799" s="96"/>
      <c r="M799" s="19"/>
    </row>
    <row r="800" spans="2:13" x14ac:dyDescent="0.25">
      <c r="B800" s="2"/>
      <c r="C800" s="2"/>
      <c r="D800" s="2"/>
      <c r="E800" s="2"/>
      <c r="F800" s="2"/>
      <c r="G800" s="2"/>
      <c r="H800" s="2"/>
      <c r="J800" s="96"/>
      <c r="K800" s="96"/>
      <c r="M800" s="19"/>
    </row>
    <row r="801" spans="13:13" x14ac:dyDescent="0.25">
      <c r="M801" s="19"/>
    </row>
    <row r="802" spans="13:13" x14ac:dyDescent="0.25">
      <c r="M802" s="19"/>
    </row>
    <row r="803" spans="13:13" x14ac:dyDescent="0.25">
      <c r="M803" s="19"/>
    </row>
    <row r="804" spans="13:13" x14ac:dyDescent="0.25">
      <c r="M804" s="19"/>
    </row>
    <row r="805" spans="13:13" x14ac:dyDescent="0.25">
      <c r="M805" s="19"/>
    </row>
    <row r="806" spans="13:13" x14ac:dyDescent="0.25">
      <c r="M806" s="19"/>
    </row>
    <row r="807" spans="13:13" x14ac:dyDescent="0.25">
      <c r="M807" s="19"/>
    </row>
    <row r="808" spans="13:13" x14ac:dyDescent="0.25">
      <c r="M808" s="19"/>
    </row>
    <row r="809" spans="13:13" x14ac:dyDescent="0.25">
      <c r="M809" s="19"/>
    </row>
    <row r="810" spans="13:13" x14ac:dyDescent="0.25">
      <c r="M810" s="19"/>
    </row>
    <row r="811" spans="13:13" x14ac:dyDescent="0.25">
      <c r="M811" s="19"/>
    </row>
    <row r="812" spans="13:13" x14ac:dyDescent="0.25">
      <c r="M812" s="19"/>
    </row>
    <row r="813" spans="13:13" x14ac:dyDescent="0.25">
      <c r="M813" s="19"/>
    </row>
    <row r="814" spans="13:13" x14ac:dyDescent="0.25">
      <c r="M814" s="19"/>
    </row>
    <row r="815" spans="13:13" x14ac:dyDescent="0.25">
      <c r="M815" s="19"/>
    </row>
    <row r="816" spans="13:13" x14ac:dyDescent="0.25">
      <c r="M816" s="19"/>
    </row>
    <row r="817" spans="13:13" x14ac:dyDescent="0.25">
      <c r="M817" s="19"/>
    </row>
    <row r="818" spans="13:13" x14ac:dyDescent="0.25">
      <c r="M818" s="19"/>
    </row>
    <row r="819" spans="13:13" x14ac:dyDescent="0.25">
      <c r="M819" s="19"/>
    </row>
    <row r="820" spans="13:13" x14ac:dyDescent="0.25">
      <c r="M820" s="19"/>
    </row>
    <row r="821" spans="13:13" x14ac:dyDescent="0.25">
      <c r="M821" s="19"/>
    </row>
    <row r="822" spans="13:13" x14ac:dyDescent="0.25">
      <c r="M822" s="19"/>
    </row>
    <row r="823" spans="13:13" x14ac:dyDescent="0.25">
      <c r="M823" s="19"/>
    </row>
    <row r="824" spans="13:13" x14ac:dyDescent="0.25">
      <c r="M824" s="19"/>
    </row>
    <row r="825" spans="13:13" x14ac:dyDescent="0.25">
      <c r="M825" s="19"/>
    </row>
    <row r="826" spans="13:13" x14ac:dyDescent="0.25">
      <c r="M826" s="19"/>
    </row>
    <row r="827" spans="13:13" x14ac:dyDescent="0.25">
      <c r="M827" s="19"/>
    </row>
    <row r="828" spans="13:13" x14ac:dyDescent="0.25">
      <c r="M828" s="19"/>
    </row>
    <row r="829" spans="13:13" x14ac:dyDescent="0.25">
      <c r="M829" s="19"/>
    </row>
    <row r="830" spans="13:13" x14ac:dyDescent="0.25">
      <c r="M830" s="19"/>
    </row>
    <row r="831" spans="13:13" x14ac:dyDescent="0.25">
      <c r="M831" s="19"/>
    </row>
    <row r="832" spans="13:13" x14ac:dyDescent="0.25">
      <c r="M832" s="19"/>
    </row>
    <row r="833" spans="13:13" x14ac:dyDescent="0.25">
      <c r="M833" s="19"/>
    </row>
    <row r="834" spans="13:13" x14ac:dyDescent="0.25">
      <c r="M834" s="19"/>
    </row>
    <row r="835" spans="13:13" x14ac:dyDescent="0.25">
      <c r="M835" s="19"/>
    </row>
    <row r="836" spans="13:13" x14ac:dyDescent="0.25">
      <c r="M836" s="19"/>
    </row>
    <row r="837" spans="13:13" x14ac:dyDescent="0.25">
      <c r="M837" s="19"/>
    </row>
    <row r="838" spans="13:13" x14ac:dyDescent="0.25">
      <c r="M838" s="19"/>
    </row>
    <row r="839" spans="13:13" x14ac:dyDescent="0.25">
      <c r="M839" s="19"/>
    </row>
    <row r="840" spans="13:13" x14ac:dyDescent="0.25">
      <c r="M840" s="19"/>
    </row>
    <row r="841" spans="13:13" x14ac:dyDescent="0.25">
      <c r="M841" s="19"/>
    </row>
    <row r="842" spans="13:13" x14ac:dyDescent="0.25">
      <c r="M842" s="19"/>
    </row>
    <row r="843" spans="13:13" x14ac:dyDescent="0.25">
      <c r="M843" s="19"/>
    </row>
    <row r="844" spans="13:13" x14ac:dyDescent="0.25">
      <c r="M844" s="19"/>
    </row>
    <row r="845" spans="13:13" x14ac:dyDescent="0.25">
      <c r="M845" s="19"/>
    </row>
    <row r="846" spans="13:13" x14ac:dyDescent="0.25">
      <c r="M846" s="19"/>
    </row>
    <row r="847" spans="13:13" x14ac:dyDescent="0.25">
      <c r="M847" s="19"/>
    </row>
    <row r="848" spans="13:13" x14ac:dyDescent="0.25">
      <c r="M848" s="19"/>
    </row>
    <row r="849" spans="13:13" x14ac:dyDescent="0.25">
      <c r="M849" s="19"/>
    </row>
    <row r="850" spans="13:13" x14ac:dyDescent="0.25">
      <c r="M850" s="19"/>
    </row>
    <row r="851" spans="13:13" x14ac:dyDescent="0.25">
      <c r="M851" s="19"/>
    </row>
    <row r="852" spans="13:13" x14ac:dyDescent="0.25">
      <c r="M852" s="19"/>
    </row>
    <row r="853" spans="13:13" x14ac:dyDescent="0.25">
      <c r="M853" s="19"/>
    </row>
    <row r="854" spans="13:13" x14ac:dyDescent="0.25">
      <c r="M854" s="19"/>
    </row>
    <row r="855" spans="13:13" x14ac:dyDescent="0.25">
      <c r="M855" s="19"/>
    </row>
    <row r="856" spans="13:13" x14ac:dyDescent="0.25">
      <c r="M856" s="19"/>
    </row>
    <row r="857" spans="13:13" x14ac:dyDescent="0.25">
      <c r="M857" s="19"/>
    </row>
    <row r="858" spans="13:13" x14ac:dyDescent="0.25">
      <c r="M858" s="19"/>
    </row>
    <row r="859" spans="13:13" x14ac:dyDescent="0.25">
      <c r="M859" s="19"/>
    </row>
    <row r="860" spans="13:13" x14ac:dyDescent="0.25">
      <c r="M860" s="19"/>
    </row>
    <row r="861" spans="13:13" x14ac:dyDescent="0.25">
      <c r="M861" s="19"/>
    </row>
    <row r="862" spans="13:13" x14ac:dyDescent="0.25">
      <c r="M862" s="19"/>
    </row>
    <row r="863" spans="13:13" x14ac:dyDescent="0.25">
      <c r="M863" s="19"/>
    </row>
    <row r="864" spans="13:13" x14ac:dyDescent="0.25">
      <c r="M864" s="19"/>
    </row>
    <row r="865" spans="13:13" x14ac:dyDescent="0.25">
      <c r="M865" s="19"/>
    </row>
    <row r="866" spans="13:13" x14ac:dyDescent="0.25">
      <c r="M866" s="19"/>
    </row>
    <row r="867" spans="13:13" x14ac:dyDescent="0.25">
      <c r="M867" s="19"/>
    </row>
    <row r="868" spans="13:13" x14ac:dyDescent="0.25">
      <c r="M868" s="19"/>
    </row>
    <row r="869" spans="13:13" x14ac:dyDescent="0.25">
      <c r="M869" s="19"/>
    </row>
    <row r="870" spans="13:13" x14ac:dyDescent="0.25">
      <c r="M870" s="19"/>
    </row>
    <row r="871" spans="13:13" x14ac:dyDescent="0.25">
      <c r="M871" s="19"/>
    </row>
    <row r="872" spans="13:13" x14ac:dyDescent="0.25">
      <c r="M872" s="19"/>
    </row>
    <row r="873" spans="13:13" x14ac:dyDescent="0.25">
      <c r="M873" s="19"/>
    </row>
    <row r="874" spans="13:13" x14ac:dyDescent="0.25">
      <c r="M874" s="19"/>
    </row>
    <row r="875" spans="13:13" x14ac:dyDescent="0.25">
      <c r="M875" s="19"/>
    </row>
    <row r="876" spans="13:13" x14ac:dyDescent="0.25">
      <c r="M876" s="19"/>
    </row>
    <row r="877" spans="13:13" x14ac:dyDescent="0.25">
      <c r="M877" s="19"/>
    </row>
    <row r="878" spans="13:13" x14ac:dyDescent="0.25">
      <c r="M878" s="19"/>
    </row>
    <row r="879" spans="13:13" x14ac:dyDescent="0.25">
      <c r="M879" s="19"/>
    </row>
    <row r="880" spans="13:13" x14ac:dyDescent="0.25">
      <c r="M880" s="19"/>
    </row>
    <row r="881" spans="13:13" x14ac:dyDescent="0.25">
      <c r="M881" s="19"/>
    </row>
    <row r="882" spans="13:13" x14ac:dyDescent="0.25">
      <c r="M882" s="19"/>
    </row>
    <row r="883" spans="13:13" x14ac:dyDescent="0.25">
      <c r="M883" s="19"/>
    </row>
    <row r="884" spans="13:13" x14ac:dyDescent="0.25">
      <c r="M884" s="19"/>
    </row>
    <row r="885" spans="13:13" x14ac:dyDescent="0.25">
      <c r="M885" s="19"/>
    </row>
    <row r="886" spans="13:13" x14ac:dyDescent="0.25">
      <c r="M886" s="19"/>
    </row>
    <row r="887" spans="13:13" x14ac:dyDescent="0.25">
      <c r="M887" s="19"/>
    </row>
    <row r="888" spans="13:13" x14ac:dyDescent="0.25">
      <c r="M888" s="19"/>
    </row>
    <row r="889" spans="13:13" x14ac:dyDescent="0.25">
      <c r="M889" s="19"/>
    </row>
    <row r="890" spans="13:13" x14ac:dyDescent="0.25">
      <c r="M890" s="19"/>
    </row>
    <row r="891" spans="13:13" x14ac:dyDescent="0.25">
      <c r="M891" s="19"/>
    </row>
    <row r="892" spans="13:13" x14ac:dyDescent="0.25">
      <c r="M892" s="19"/>
    </row>
    <row r="893" spans="13:13" x14ac:dyDescent="0.25">
      <c r="M893" s="19"/>
    </row>
    <row r="894" spans="13:13" x14ac:dyDescent="0.25">
      <c r="M894" s="19"/>
    </row>
    <row r="895" spans="13:13" x14ac:dyDescent="0.25">
      <c r="M895" s="19"/>
    </row>
    <row r="896" spans="13:13" x14ac:dyDescent="0.25">
      <c r="M896" s="19"/>
    </row>
    <row r="897" spans="13:13" x14ac:dyDescent="0.25">
      <c r="M897" s="19"/>
    </row>
    <row r="898" spans="13:13" x14ac:dyDescent="0.25">
      <c r="M898" s="19"/>
    </row>
    <row r="899" spans="13:13" x14ac:dyDescent="0.25">
      <c r="M899" s="19"/>
    </row>
    <row r="900" spans="13:13" x14ac:dyDescent="0.25">
      <c r="M900" s="19"/>
    </row>
    <row r="901" spans="13:13" x14ac:dyDescent="0.25">
      <c r="M901" s="19"/>
    </row>
    <row r="902" spans="13:13" x14ac:dyDescent="0.25">
      <c r="M902" s="19"/>
    </row>
    <row r="903" spans="13:13" x14ac:dyDescent="0.25">
      <c r="M903" s="19"/>
    </row>
    <row r="904" spans="13:13" x14ac:dyDescent="0.25">
      <c r="M904" s="19"/>
    </row>
    <row r="905" spans="13:13" x14ac:dyDescent="0.25">
      <c r="M905" s="19"/>
    </row>
    <row r="906" spans="13:13" x14ac:dyDescent="0.25">
      <c r="M906" s="19"/>
    </row>
    <row r="907" spans="13:13" x14ac:dyDescent="0.25">
      <c r="M907" s="19"/>
    </row>
    <row r="908" spans="13:13" x14ac:dyDescent="0.25">
      <c r="M908" s="19"/>
    </row>
    <row r="909" spans="13:13" x14ac:dyDescent="0.25">
      <c r="M909" s="19"/>
    </row>
    <row r="910" spans="13:13" x14ac:dyDescent="0.25">
      <c r="M910" s="19"/>
    </row>
    <row r="911" spans="13:13" x14ac:dyDescent="0.25">
      <c r="M911" s="19"/>
    </row>
    <row r="912" spans="13:13" x14ac:dyDescent="0.25">
      <c r="M912" s="19"/>
    </row>
    <row r="913" spans="13:13" x14ac:dyDescent="0.25">
      <c r="M913" s="19"/>
    </row>
    <row r="914" spans="13:13" x14ac:dyDescent="0.25">
      <c r="M914" s="19"/>
    </row>
    <row r="915" spans="13:13" x14ac:dyDescent="0.25">
      <c r="M915" s="19"/>
    </row>
    <row r="916" spans="13:13" x14ac:dyDescent="0.25">
      <c r="M916" s="19"/>
    </row>
    <row r="917" spans="13:13" x14ac:dyDescent="0.25">
      <c r="M917" s="19"/>
    </row>
    <row r="918" spans="13:13" x14ac:dyDescent="0.25">
      <c r="M918" s="19"/>
    </row>
    <row r="919" spans="13:13" x14ac:dyDescent="0.25">
      <c r="M919" s="19"/>
    </row>
    <row r="920" spans="13:13" x14ac:dyDescent="0.25">
      <c r="M920" s="19"/>
    </row>
    <row r="921" spans="13:13" x14ac:dyDescent="0.25">
      <c r="M921" s="19"/>
    </row>
    <row r="922" spans="13:13" x14ac:dyDescent="0.25">
      <c r="M922" s="19"/>
    </row>
    <row r="923" spans="13:13" x14ac:dyDescent="0.25">
      <c r="M923" s="19"/>
    </row>
    <row r="924" spans="13:13" x14ac:dyDescent="0.25">
      <c r="M924" s="19"/>
    </row>
    <row r="925" spans="13:13" x14ac:dyDescent="0.25">
      <c r="M925" s="19"/>
    </row>
    <row r="926" spans="13:13" x14ac:dyDescent="0.25">
      <c r="M926" s="19"/>
    </row>
    <row r="927" spans="13:13" x14ac:dyDescent="0.25">
      <c r="M927" s="19"/>
    </row>
    <row r="928" spans="13:13" x14ac:dyDescent="0.25">
      <c r="M928" s="19"/>
    </row>
    <row r="929" spans="13:13" x14ac:dyDescent="0.25">
      <c r="M929" s="19"/>
    </row>
    <row r="930" spans="13:13" x14ac:dyDescent="0.25">
      <c r="M930" s="19"/>
    </row>
    <row r="931" spans="13:13" x14ac:dyDescent="0.25">
      <c r="M931" s="19"/>
    </row>
    <row r="932" spans="13:13" x14ac:dyDescent="0.25">
      <c r="M932" s="19"/>
    </row>
    <row r="933" spans="13:13" x14ac:dyDescent="0.25">
      <c r="M933" s="19"/>
    </row>
    <row r="934" spans="13:13" x14ac:dyDescent="0.25">
      <c r="M934" s="19"/>
    </row>
    <row r="935" spans="13:13" x14ac:dyDescent="0.25">
      <c r="M935" s="19"/>
    </row>
    <row r="936" spans="13:13" x14ac:dyDescent="0.25">
      <c r="M936" s="19"/>
    </row>
    <row r="937" spans="13:13" x14ac:dyDescent="0.25">
      <c r="M937" s="19"/>
    </row>
    <row r="938" spans="13:13" x14ac:dyDescent="0.25">
      <c r="M938" s="19"/>
    </row>
    <row r="939" spans="13:13" x14ac:dyDescent="0.25">
      <c r="M939" s="19"/>
    </row>
    <row r="940" spans="13:13" x14ac:dyDescent="0.25">
      <c r="M940" s="19"/>
    </row>
    <row r="941" spans="13:13" x14ac:dyDescent="0.25">
      <c r="M941" s="19"/>
    </row>
    <row r="942" spans="13:13" x14ac:dyDescent="0.25">
      <c r="M942" s="19"/>
    </row>
    <row r="943" spans="13:13" x14ac:dyDescent="0.25">
      <c r="M943" s="19"/>
    </row>
    <row r="944" spans="13:13" x14ac:dyDescent="0.25">
      <c r="M944" s="19"/>
    </row>
    <row r="945" spans="13:13" x14ac:dyDescent="0.25">
      <c r="M945" s="19"/>
    </row>
    <row r="946" spans="13:13" x14ac:dyDescent="0.25">
      <c r="M946" s="19"/>
    </row>
    <row r="947" spans="13:13" x14ac:dyDescent="0.25">
      <c r="M947" s="19"/>
    </row>
    <row r="948" spans="13:13" x14ac:dyDescent="0.25">
      <c r="M948" s="19"/>
    </row>
    <row r="949" spans="13:13" x14ac:dyDescent="0.25">
      <c r="M949" s="19"/>
    </row>
    <row r="950" spans="13:13" x14ac:dyDescent="0.25">
      <c r="M950" s="19"/>
    </row>
    <row r="951" spans="13:13" x14ac:dyDescent="0.25">
      <c r="M951" s="19"/>
    </row>
    <row r="952" spans="13:13" x14ac:dyDescent="0.25">
      <c r="M952" s="19"/>
    </row>
    <row r="953" spans="13:13" x14ac:dyDescent="0.25">
      <c r="M953" s="19"/>
    </row>
    <row r="954" spans="13:13" x14ac:dyDescent="0.25">
      <c r="M954" s="19"/>
    </row>
    <row r="955" spans="13:13" x14ac:dyDescent="0.25">
      <c r="M955" s="19"/>
    </row>
    <row r="956" spans="13:13" x14ac:dyDescent="0.25">
      <c r="M956" s="19"/>
    </row>
    <row r="957" spans="13:13" x14ac:dyDescent="0.25">
      <c r="M957" s="19"/>
    </row>
    <row r="958" spans="13:13" x14ac:dyDescent="0.25">
      <c r="M958" s="19"/>
    </row>
    <row r="959" spans="13:13" x14ac:dyDescent="0.25">
      <c r="M959" s="19"/>
    </row>
    <row r="960" spans="13:13" x14ac:dyDescent="0.25">
      <c r="M960" s="19"/>
    </row>
    <row r="961" spans="13:13" x14ac:dyDescent="0.25">
      <c r="M961" s="19"/>
    </row>
    <row r="962" spans="13:13" x14ac:dyDescent="0.25">
      <c r="M962" s="19"/>
    </row>
    <row r="963" spans="13:13" x14ac:dyDescent="0.25">
      <c r="M963" s="19"/>
    </row>
    <row r="964" spans="13:13" x14ac:dyDescent="0.25">
      <c r="M964" s="19"/>
    </row>
    <row r="965" spans="13:13" x14ac:dyDescent="0.25">
      <c r="M965" s="19"/>
    </row>
    <row r="966" spans="13:13" x14ac:dyDescent="0.25">
      <c r="M966" s="19"/>
    </row>
    <row r="967" spans="13:13" x14ac:dyDescent="0.25">
      <c r="M967" s="19"/>
    </row>
    <row r="968" spans="13:13" x14ac:dyDescent="0.25">
      <c r="M968" s="19"/>
    </row>
    <row r="969" spans="13:13" x14ac:dyDescent="0.25">
      <c r="M969" s="19"/>
    </row>
    <row r="970" spans="13:13" x14ac:dyDescent="0.25">
      <c r="M970" s="19"/>
    </row>
    <row r="971" spans="13:13" x14ac:dyDescent="0.25">
      <c r="M971" s="19"/>
    </row>
    <row r="972" spans="13:13" x14ac:dyDescent="0.25">
      <c r="M972" s="19"/>
    </row>
    <row r="973" spans="13:13" x14ac:dyDescent="0.25">
      <c r="M973" s="19"/>
    </row>
    <row r="974" spans="13:13" x14ac:dyDescent="0.25">
      <c r="M974" s="19"/>
    </row>
    <row r="975" spans="13:13" x14ac:dyDescent="0.25">
      <c r="M975" s="19"/>
    </row>
    <row r="976" spans="13:13" x14ac:dyDescent="0.25">
      <c r="M976" s="19"/>
    </row>
    <row r="977" spans="13:13" x14ac:dyDescent="0.25">
      <c r="M977" s="19"/>
    </row>
    <row r="978" spans="13:13" x14ac:dyDescent="0.25">
      <c r="M978" s="19"/>
    </row>
    <row r="979" spans="13:13" x14ac:dyDescent="0.25">
      <c r="M979" s="19"/>
    </row>
    <row r="980" spans="13:13" x14ac:dyDescent="0.25">
      <c r="M980" s="19"/>
    </row>
    <row r="981" spans="13:13" x14ac:dyDescent="0.25">
      <c r="M981" s="19"/>
    </row>
    <row r="982" spans="13:13" x14ac:dyDescent="0.25">
      <c r="M982" s="19"/>
    </row>
    <row r="983" spans="13:13" x14ac:dyDescent="0.25">
      <c r="M983" s="19"/>
    </row>
    <row r="984" spans="13:13" x14ac:dyDescent="0.25">
      <c r="M984" s="19"/>
    </row>
    <row r="985" spans="13:13" x14ac:dyDescent="0.25">
      <c r="M985" s="19"/>
    </row>
    <row r="986" spans="13:13" x14ac:dyDescent="0.25">
      <c r="M986" s="19"/>
    </row>
    <row r="987" spans="13:13" x14ac:dyDescent="0.25">
      <c r="M987" s="19"/>
    </row>
    <row r="988" spans="13:13" x14ac:dyDescent="0.25">
      <c r="M988" s="19"/>
    </row>
    <row r="989" spans="13:13" x14ac:dyDescent="0.25">
      <c r="M989" s="19"/>
    </row>
    <row r="990" spans="13:13" x14ac:dyDescent="0.25">
      <c r="M990" s="19"/>
    </row>
    <row r="991" spans="13:13" x14ac:dyDescent="0.25">
      <c r="M991" s="19"/>
    </row>
    <row r="992" spans="13:13" x14ac:dyDescent="0.25">
      <c r="M992" s="19"/>
    </row>
    <row r="993" spans="13:13" x14ac:dyDescent="0.25">
      <c r="M993" s="19"/>
    </row>
    <row r="994" spans="13:13" x14ac:dyDescent="0.25">
      <c r="M994" s="19"/>
    </row>
    <row r="995" spans="13:13" x14ac:dyDescent="0.25">
      <c r="M995" s="19"/>
    </row>
    <row r="996" spans="13:13" x14ac:dyDescent="0.25">
      <c r="M996" s="19"/>
    </row>
    <row r="997" spans="13:13" x14ac:dyDescent="0.25">
      <c r="M997" s="19"/>
    </row>
    <row r="998" spans="13:13" x14ac:dyDescent="0.25">
      <c r="M998" s="19"/>
    </row>
    <row r="999" spans="13:13" x14ac:dyDescent="0.25">
      <c r="M999" s="19"/>
    </row>
    <row r="1000" spans="13:13" x14ac:dyDescent="0.25">
      <c r="M1000" s="19"/>
    </row>
    <row r="1001" spans="13:13" x14ac:dyDescent="0.25">
      <c r="M1001" s="19"/>
    </row>
    <row r="1002" spans="13:13" x14ac:dyDescent="0.25">
      <c r="M1002" s="19"/>
    </row>
    <row r="1003" spans="13:13" x14ac:dyDescent="0.25">
      <c r="M1003" s="19"/>
    </row>
    <row r="1004" spans="13:13" x14ac:dyDescent="0.25">
      <c r="M1004" s="19"/>
    </row>
    <row r="1005" spans="13:13" x14ac:dyDescent="0.25">
      <c r="M1005" s="19"/>
    </row>
    <row r="1006" spans="13:13" x14ac:dyDescent="0.25">
      <c r="M1006" s="19"/>
    </row>
    <row r="1007" spans="13:13" x14ac:dyDescent="0.25">
      <c r="M1007" s="19"/>
    </row>
    <row r="1008" spans="13:13" x14ac:dyDescent="0.25">
      <c r="M1008" s="19"/>
    </row>
    <row r="1009" spans="13:13" x14ac:dyDescent="0.25">
      <c r="M1009" s="19"/>
    </row>
    <row r="1010" spans="13:13" x14ac:dyDescent="0.25">
      <c r="M1010" s="19"/>
    </row>
    <row r="1011" spans="13:13" x14ac:dyDescent="0.25">
      <c r="M1011" s="19"/>
    </row>
    <row r="1012" spans="13:13" x14ac:dyDescent="0.25">
      <c r="M1012" s="19"/>
    </row>
    <row r="1013" spans="13:13" x14ac:dyDescent="0.25">
      <c r="M1013" s="19"/>
    </row>
    <row r="1014" spans="13:13" x14ac:dyDescent="0.25">
      <c r="M1014" s="19"/>
    </row>
    <row r="1015" spans="13:13" x14ac:dyDescent="0.25">
      <c r="M1015" s="19"/>
    </row>
    <row r="1016" spans="13:13" x14ac:dyDescent="0.25">
      <c r="M1016" s="19"/>
    </row>
    <row r="1017" spans="13:13" x14ac:dyDescent="0.25">
      <c r="M1017" s="19"/>
    </row>
    <row r="1018" spans="13:13" x14ac:dyDescent="0.25">
      <c r="M1018" s="19"/>
    </row>
    <row r="1019" spans="13:13" x14ac:dyDescent="0.25">
      <c r="M1019" s="19"/>
    </row>
    <row r="1020" spans="13:13" x14ac:dyDescent="0.25">
      <c r="M1020" s="19"/>
    </row>
    <row r="1021" spans="13:13" x14ac:dyDescent="0.25">
      <c r="M1021" s="19"/>
    </row>
    <row r="1022" spans="13:13" x14ac:dyDescent="0.25">
      <c r="M1022" s="19"/>
    </row>
    <row r="1023" spans="13:13" x14ac:dyDescent="0.25">
      <c r="M1023" s="19"/>
    </row>
    <row r="1024" spans="13:13" x14ac:dyDescent="0.25">
      <c r="M1024" s="19"/>
    </row>
    <row r="1025" spans="13:13" x14ac:dyDescent="0.25">
      <c r="M1025" s="19"/>
    </row>
    <row r="1026" spans="13:13" x14ac:dyDescent="0.25">
      <c r="M1026" s="19"/>
    </row>
    <row r="1027" spans="13:13" x14ac:dyDescent="0.25">
      <c r="M1027" s="19"/>
    </row>
    <row r="1028" spans="13:13" x14ac:dyDescent="0.25">
      <c r="M1028" s="19"/>
    </row>
    <row r="1029" spans="13:13" x14ac:dyDescent="0.25">
      <c r="M1029" s="19"/>
    </row>
    <row r="1030" spans="13:13" x14ac:dyDescent="0.25">
      <c r="M1030" s="19"/>
    </row>
    <row r="1031" spans="13:13" x14ac:dyDescent="0.25">
      <c r="M1031" s="19"/>
    </row>
    <row r="1032" spans="13:13" x14ac:dyDescent="0.25">
      <c r="M1032" s="19"/>
    </row>
    <row r="1033" spans="13:13" x14ac:dyDescent="0.25">
      <c r="M1033" s="19"/>
    </row>
    <row r="1034" spans="13:13" x14ac:dyDescent="0.25">
      <c r="M1034" s="19"/>
    </row>
    <row r="1035" spans="13:13" x14ac:dyDescent="0.25">
      <c r="M1035" s="19"/>
    </row>
    <row r="1036" spans="13:13" x14ac:dyDescent="0.25">
      <c r="M1036" s="19"/>
    </row>
    <row r="1037" spans="13:13" x14ac:dyDescent="0.25">
      <c r="M1037" s="19"/>
    </row>
    <row r="1038" spans="13:13" x14ac:dyDescent="0.25">
      <c r="M1038" s="19"/>
    </row>
    <row r="1039" spans="13:13" x14ac:dyDescent="0.25">
      <c r="M1039" s="19"/>
    </row>
    <row r="1040" spans="13:13" x14ac:dyDescent="0.25">
      <c r="M1040" s="19"/>
    </row>
    <row r="1041" spans="13:13" x14ac:dyDescent="0.25">
      <c r="M1041" s="19"/>
    </row>
    <row r="1042" spans="13:13" x14ac:dyDescent="0.25">
      <c r="M1042" s="19"/>
    </row>
    <row r="1043" spans="13:13" x14ac:dyDescent="0.25">
      <c r="M1043" s="19"/>
    </row>
    <row r="1044" spans="13:13" x14ac:dyDescent="0.25">
      <c r="M1044" s="19"/>
    </row>
    <row r="1045" spans="13:13" x14ac:dyDescent="0.25">
      <c r="M1045" s="19"/>
    </row>
    <row r="1046" spans="13:13" x14ac:dyDescent="0.25">
      <c r="M1046" s="19"/>
    </row>
    <row r="1047" spans="13:13" x14ac:dyDescent="0.25">
      <c r="M1047" s="19"/>
    </row>
    <row r="1048" spans="13:13" x14ac:dyDescent="0.25">
      <c r="M1048" s="19"/>
    </row>
    <row r="1049" spans="13:13" x14ac:dyDescent="0.25">
      <c r="M1049" s="19"/>
    </row>
    <row r="1050" spans="13:13" x14ac:dyDescent="0.25">
      <c r="M1050" s="19"/>
    </row>
    <row r="1051" spans="13:13" x14ac:dyDescent="0.25">
      <c r="M1051" s="19"/>
    </row>
    <row r="1052" spans="13:13" x14ac:dyDescent="0.25">
      <c r="M1052" s="19"/>
    </row>
    <row r="1053" spans="13:13" x14ac:dyDescent="0.25">
      <c r="M1053" s="19"/>
    </row>
    <row r="1054" spans="13:13" x14ac:dyDescent="0.25">
      <c r="M1054" s="19"/>
    </row>
    <row r="1055" spans="13:13" x14ac:dyDescent="0.25">
      <c r="M1055" s="19"/>
    </row>
    <row r="1056" spans="13:13" x14ac:dyDescent="0.25">
      <c r="M1056" s="19"/>
    </row>
    <row r="1057" spans="13:13" x14ac:dyDescent="0.25">
      <c r="M1057" s="19"/>
    </row>
    <row r="1058" spans="13:13" x14ac:dyDescent="0.25">
      <c r="M1058" s="19"/>
    </row>
    <row r="1059" spans="13:13" x14ac:dyDescent="0.25">
      <c r="M1059" s="19"/>
    </row>
    <row r="1060" spans="13:13" x14ac:dyDescent="0.25">
      <c r="M1060" s="19"/>
    </row>
    <row r="1061" spans="13:13" x14ac:dyDescent="0.25">
      <c r="M1061" s="19"/>
    </row>
    <row r="1062" spans="13:13" x14ac:dyDescent="0.25">
      <c r="M1062" s="19"/>
    </row>
    <row r="1063" spans="13:13" x14ac:dyDescent="0.25">
      <c r="M1063" s="19"/>
    </row>
    <row r="1064" spans="13:13" x14ac:dyDescent="0.25">
      <c r="M1064" s="19"/>
    </row>
    <row r="1065" spans="13:13" x14ac:dyDescent="0.25">
      <c r="M1065" s="19"/>
    </row>
    <row r="1066" spans="13:13" x14ac:dyDescent="0.25">
      <c r="M1066" s="19"/>
    </row>
    <row r="1067" spans="13:13" x14ac:dyDescent="0.25">
      <c r="M1067" s="19"/>
    </row>
    <row r="1068" spans="13:13" x14ac:dyDescent="0.25">
      <c r="M1068" s="19"/>
    </row>
    <row r="1069" spans="13:13" x14ac:dyDescent="0.25">
      <c r="M1069" s="19"/>
    </row>
    <row r="1070" spans="13:13" x14ac:dyDescent="0.25">
      <c r="M1070" s="19"/>
    </row>
    <row r="1071" spans="13:13" x14ac:dyDescent="0.25">
      <c r="M1071" s="19"/>
    </row>
    <row r="1072" spans="13:13" x14ac:dyDescent="0.25">
      <c r="M1072" s="19"/>
    </row>
    <row r="1073" spans="13:13" x14ac:dyDescent="0.25">
      <c r="M1073" s="19"/>
    </row>
    <row r="1074" spans="13:13" x14ac:dyDescent="0.25">
      <c r="M1074" s="19"/>
    </row>
    <row r="1075" spans="13:13" x14ac:dyDescent="0.25">
      <c r="M1075" s="19"/>
    </row>
    <row r="1076" spans="13:13" x14ac:dyDescent="0.25">
      <c r="M1076" s="19"/>
    </row>
    <row r="1077" spans="13:13" x14ac:dyDescent="0.25">
      <c r="M1077" s="19"/>
    </row>
    <row r="1078" spans="13:13" x14ac:dyDescent="0.25">
      <c r="M1078" s="19"/>
    </row>
    <row r="1079" spans="13:13" x14ac:dyDescent="0.25">
      <c r="M1079" s="19"/>
    </row>
    <row r="1080" spans="13:13" x14ac:dyDescent="0.25">
      <c r="M1080" s="19"/>
    </row>
    <row r="1081" spans="13:13" x14ac:dyDescent="0.25">
      <c r="M1081" s="19"/>
    </row>
    <row r="1082" spans="13:13" x14ac:dyDescent="0.25">
      <c r="M1082" s="19"/>
    </row>
    <row r="1083" spans="13:13" x14ac:dyDescent="0.25">
      <c r="M1083" s="19"/>
    </row>
    <row r="1084" spans="13:13" x14ac:dyDescent="0.25">
      <c r="M1084" s="19"/>
    </row>
    <row r="1085" spans="13:13" x14ac:dyDescent="0.25">
      <c r="M1085" s="19"/>
    </row>
    <row r="1086" spans="13:13" x14ac:dyDescent="0.25">
      <c r="M1086" s="19"/>
    </row>
    <row r="1087" spans="13:13" x14ac:dyDescent="0.25">
      <c r="M1087" s="19"/>
    </row>
    <row r="1088" spans="13:13" x14ac:dyDescent="0.25">
      <c r="M1088" s="19"/>
    </row>
    <row r="1089" spans="13:13" x14ac:dyDescent="0.25">
      <c r="M1089" s="19"/>
    </row>
    <row r="1090" spans="13:13" x14ac:dyDescent="0.25">
      <c r="M1090" s="19"/>
    </row>
    <row r="1091" spans="13:13" x14ac:dyDescent="0.25">
      <c r="M1091" s="19"/>
    </row>
    <row r="1092" spans="13:13" x14ac:dyDescent="0.25">
      <c r="M1092" s="19"/>
    </row>
    <row r="1093" spans="13:13" x14ac:dyDescent="0.25">
      <c r="M1093" s="19"/>
    </row>
    <row r="1094" spans="13:13" x14ac:dyDescent="0.25">
      <c r="M1094" s="19"/>
    </row>
    <row r="1095" spans="13:13" x14ac:dyDescent="0.25">
      <c r="M1095" s="19"/>
    </row>
    <row r="1096" spans="13:13" x14ac:dyDescent="0.25">
      <c r="M1096" s="19"/>
    </row>
    <row r="1097" spans="13:13" x14ac:dyDescent="0.25">
      <c r="M1097" s="19"/>
    </row>
    <row r="1098" spans="13:13" x14ac:dyDescent="0.25">
      <c r="M1098" s="19"/>
    </row>
    <row r="1099" spans="13:13" x14ac:dyDescent="0.25">
      <c r="M1099" s="19"/>
    </row>
    <row r="1100" spans="13:13" x14ac:dyDescent="0.25">
      <c r="M1100" s="19"/>
    </row>
    <row r="1101" spans="13:13" x14ac:dyDescent="0.25">
      <c r="M1101" s="19"/>
    </row>
    <row r="1102" spans="13:13" x14ac:dyDescent="0.25">
      <c r="M1102" s="19"/>
    </row>
    <row r="1103" spans="13:13" x14ac:dyDescent="0.25">
      <c r="M1103" s="19"/>
    </row>
    <row r="1104" spans="13:13" x14ac:dyDescent="0.25">
      <c r="M1104" s="19"/>
    </row>
    <row r="1105" spans="13:13" x14ac:dyDescent="0.25">
      <c r="M1105" s="19"/>
    </row>
    <row r="1106" spans="13:13" x14ac:dyDescent="0.25">
      <c r="M1106" s="19"/>
    </row>
    <row r="1107" spans="13:13" x14ac:dyDescent="0.25">
      <c r="M1107" s="19"/>
    </row>
    <row r="1108" spans="13:13" x14ac:dyDescent="0.25">
      <c r="M1108" s="19"/>
    </row>
    <row r="1109" spans="13:13" x14ac:dyDescent="0.25">
      <c r="M1109" s="19"/>
    </row>
    <row r="1110" spans="13:13" x14ac:dyDescent="0.25">
      <c r="M1110" s="19"/>
    </row>
    <row r="1111" spans="13:13" x14ac:dyDescent="0.25">
      <c r="M1111" s="19"/>
    </row>
    <row r="1112" spans="13:13" x14ac:dyDescent="0.25">
      <c r="M1112" s="19"/>
    </row>
    <row r="1113" spans="13:13" x14ac:dyDescent="0.25">
      <c r="M1113" s="19"/>
    </row>
    <row r="1114" spans="13:13" x14ac:dyDescent="0.25">
      <c r="M1114" s="19"/>
    </row>
    <row r="1115" spans="13:13" x14ac:dyDescent="0.25">
      <c r="M1115" s="19"/>
    </row>
    <row r="1116" spans="13:13" x14ac:dyDescent="0.25">
      <c r="M1116" s="19"/>
    </row>
    <row r="1117" spans="13:13" x14ac:dyDescent="0.25">
      <c r="M1117" s="19"/>
    </row>
    <row r="1118" spans="13:13" x14ac:dyDescent="0.25">
      <c r="M1118" s="19"/>
    </row>
    <row r="1119" spans="13:13" x14ac:dyDescent="0.25">
      <c r="M1119" s="19"/>
    </row>
    <row r="1120" spans="13:13" x14ac:dyDescent="0.25">
      <c r="M1120" s="19"/>
    </row>
    <row r="1121" spans="13:13" x14ac:dyDescent="0.25">
      <c r="M1121" s="19"/>
    </row>
    <row r="1122" spans="13:13" x14ac:dyDescent="0.25">
      <c r="M1122" s="19"/>
    </row>
    <row r="1123" spans="13:13" x14ac:dyDescent="0.25">
      <c r="M1123" s="19"/>
    </row>
    <row r="1124" spans="13:13" x14ac:dyDescent="0.25">
      <c r="M1124" s="19"/>
    </row>
    <row r="1125" spans="13:13" x14ac:dyDescent="0.25">
      <c r="M1125" s="19"/>
    </row>
    <row r="1126" spans="13:13" x14ac:dyDescent="0.25">
      <c r="M1126" s="19"/>
    </row>
    <row r="1127" spans="13:13" x14ac:dyDescent="0.25">
      <c r="M1127" s="19"/>
    </row>
    <row r="1128" spans="13:13" x14ac:dyDescent="0.25">
      <c r="M1128" s="19"/>
    </row>
    <row r="1129" spans="13:13" x14ac:dyDescent="0.25">
      <c r="M1129" s="19"/>
    </row>
    <row r="1130" spans="13:13" x14ac:dyDescent="0.25">
      <c r="M1130" s="19"/>
    </row>
    <row r="1131" spans="13:13" x14ac:dyDescent="0.25">
      <c r="M1131" s="19"/>
    </row>
    <row r="1132" spans="13:13" x14ac:dyDescent="0.25">
      <c r="M1132" s="19"/>
    </row>
    <row r="1133" spans="13:13" x14ac:dyDescent="0.25">
      <c r="M1133" s="19"/>
    </row>
    <row r="1134" spans="13:13" x14ac:dyDescent="0.25">
      <c r="M1134" s="19"/>
    </row>
    <row r="1135" spans="13:13" x14ac:dyDescent="0.25">
      <c r="M1135" s="19"/>
    </row>
    <row r="1136" spans="13:13" x14ac:dyDescent="0.25">
      <c r="M1136" s="19"/>
    </row>
    <row r="1137" spans="13:13" x14ac:dyDescent="0.25">
      <c r="M1137" s="19"/>
    </row>
    <row r="1138" spans="13:13" x14ac:dyDescent="0.25">
      <c r="M1138" s="19"/>
    </row>
    <row r="1139" spans="13:13" x14ac:dyDescent="0.25">
      <c r="M1139" s="19"/>
    </row>
    <row r="1140" spans="13:13" x14ac:dyDescent="0.25">
      <c r="M1140" s="19"/>
    </row>
    <row r="1141" spans="13:13" x14ac:dyDescent="0.25">
      <c r="M1141" s="19"/>
    </row>
    <row r="1142" spans="13:13" x14ac:dyDescent="0.25">
      <c r="M1142" s="19"/>
    </row>
    <row r="1143" spans="13:13" x14ac:dyDescent="0.25">
      <c r="M1143" s="19"/>
    </row>
    <row r="1144" spans="13:13" x14ac:dyDescent="0.25">
      <c r="M1144" s="19"/>
    </row>
    <row r="1145" spans="13:13" x14ac:dyDescent="0.25">
      <c r="M1145" s="19"/>
    </row>
    <row r="1146" spans="13:13" x14ac:dyDescent="0.25">
      <c r="M1146" s="19"/>
    </row>
    <row r="1147" spans="13:13" x14ac:dyDescent="0.25">
      <c r="M1147" s="19"/>
    </row>
    <row r="1148" spans="13:13" x14ac:dyDescent="0.25">
      <c r="M1148" s="19"/>
    </row>
    <row r="1149" spans="13:13" x14ac:dyDescent="0.25">
      <c r="M1149" s="19"/>
    </row>
    <row r="1150" spans="13:13" x14ac:dyDescent="0.25">
      <c r="M1150" s="19"/>
    </row>
    <row r="1151" spans="13:13" x14ac:dyDescent="0.25">
      <c r="M1151" s="19"/>
    </row>
    <row r="1152" spans="13:13" x14ac:dyDescent="0.25">
      <c r="M1152" s="19"/>
    </row>
    <row r="1153" spans="13:13" x14ac:dyDescent="0.25">
      <c r="M1153" s="19"/>
    </row>
    <row r="1154" spans="13:13" x14ac:dyDescent="0.25">
      <c r="M1154" s="19"/>
    </row>
    <row r="1155" spans="13:13" x14ac:dyDescent="0.25">
      <c r="M1155" s="19"/>
    </row>
    <row r="1156" spans="13:13" x14ac:dyDescent="0.25">
      <c r="M1156" s="19"/>
    </row>
    <row r="1157" spans="13:13" x14ac:dyDescent="0.25">
      <c r="M1157" s="19"/>
    </row>
    <row r="1158" spans="13:13" x14ac:dyDescent="0.25">
      <c r="M1158" s="19"/>
    </row>
    <row r="1159" spans="13:13" x14ac:dyDescent="0.25">
      <c r="M1159" s="19"/>
    </row>
    <row r="1160" spans="13:13" x14ac:dyDescent="0.25">
      <c r="M1160" s="19"/>
    </row>
    <row r="1161" spans="13:13" x14ac:dyDescent="0.25">
      <c r="M1161" s="19"/>
    </row>
    <row r="1162" spans="13:13" x14ac:dyDescent="0.25">
      <c r="M1162" s="19"/>
    </row>
    <row r="1163" spans="13:13" x14ac:dyDescent="0.25">
      <c r="M1163" s="19"/>
    </row>
    <row r="1164" spans="13:13" x14ac:dyDescent="0.25">
      <c r="M1164" s="19"/>
    </row>
    <row r="1165" spans="13:13" x14ac:dyDescent="0.25">
      <c r="M1165" s="19"/>
    </row>
    <row r="1166" spans="13:13" x14ac:dyDescent="0.25">
      <c r="M1166" s="19"/>
    </row>
    <row r="1167" spans="13:13" x14ac:dyDescent="0.25">
      <c r="M1167" s="19"/>
    </row>
    <row r="1168" spans="13:13" x14ac:dyDescent="0.25">
      <c r="M1168" s="19"/>
    </row>
    <row r="1169" spans="13:13" x14ac:dyDescent="0.25">
      <c r="M1169" s="19"/>
    </row>
    <row r="1170" spans="13:13" x14ac:dyDescent="0.25">
      <c r="M1170" s="19"/>
    </row>
    <row r="1171" spans="13:13" x14ac:dyDescent="0.25">
      <c r="M1171" s="19"/>
    </row>
    <row r="1172" spans="13:13" x14ac:dyDescent="0.25">
      <c r="M1172" s="19"/>
    </row>
    <row r="1173" spans="13:13" x14ac:dyDescent="0.25">
      <c r="M1173" s="19"/>
    </row>
    <row r="1174" spans="13:13" x14ac:dyDescent="0.25">
      <c r="M1174" s="19"/>
    </row>
    <row r="1175" spans="13:13" x14ac:dyDescent="0.25">
      <c r="M1175" s="19"/>
    </row>
    <row r="1176" spans="13:13" x14ac:dyDescent="0.25">
      <c r="M1176" s="19"/>
    </row>
    <row r="1177" spans="13:13" x14ac:dyDescent="0.25">
      <c r="M1177" s="19"/>
    </row>
    <row r="1178" spans="13:13" x14ac:dyDescent="0.25">
      <c r="M1178" s="19"/>
    </row>
    <row r="1179" spans="13:13" x14ac:dyDescent="0.25">
      <c r="M1179" s="19"/>
    </row>
    <row r="1180" spans="13:13" x14ac:dyDescent="0.25">
      <c r="M1180" s="19"/>
    </row>
    <row r="1181" spans="13:13" x14ac:dyDescent="0.25">
      <c r="M1181" s="19"/>
    </row>
    <row r="1182" spans="13:13" x14ac:dyDescent="0.25">
      <c r="M1182" s="19"/>
    </row>
    <row r="1183" spans="13:13" x14ac:dyDescent="0.25">
      <c r="M1183" s="19"/>
    </row>
    <row r="1184" spans="13:13" x14ac:dyDescent="0.25">
      <c r="M1184" s="19"/>
    </row>
    <row r="1185" spans="13:13" x14ac:dyDescent="0.25">
      <c r="M1185" s="19"/>
    </row>
    <row r="1186" spans="13:13" x14ac:dyDescent="0.25">
      <c r="M1186" s="19"/>
    </row>
    <row r="1187" spans="13:13" x14ac:dyDescent="0.25">
      <c r="M1187" s="19"/>
    </row>
    <row r="1188" spans="13:13" x14ac:dyDescent="0.25">
      <c r="M1188" s="19"/>
    </row>
    <row r="1189" spans="13:13" x14ac:dyDescent="0.25">
      <c r="M1189" s="19"/>
    </row>
    <row r="1190" spans="13:13" x14ac:dyDescent="0.25">
      <c r="M1190" s="19"/>
    </row>
    <row r="1191" spans="13:13" x14ac:dyDescent="0.25">
      <c r="M1191" s="19"/>
    </row>
    <row r="1192" spans="13:13" x14ac:dyDescent="0.25">
      <c r="M1192" s="19"/>
    </row>
    <row r="1193" spans="13:13" x14ac:dyDescent="0.25">
      <c r="M1193" s="19"/>
    </row>
    <row r="1194" spans="13:13" x14ac:dyDescent="0.25">
      <c r="M1194" s="19"/>
    </row>
    <row r="1195" spans="13:13" x14ac:dyDescent="0.25">
      <c r="M1195" s="19"/>
    </row>
    <row r="1196" spans="13:13" x14ac:dyDescent="0.25">
      <c r="M1196" s="19"/>
    </row>
    <row r="1197" spans="13:13" x14ac:dyDescent="0.25">
      <c r="M1197" s="19"/>
    </row>
    <row r="1198" spans="13:13" x14ac:dyDescent="0.25">
      <c r="M1198" s="19"/>
    </row>
    <row r="1199" spans="13:13" x14ac:dyDescent="0.25">
      <c r="M1199" s="19"/>
    </row>
    <row r="1200" spans="13:13" x14ac:dyDescent="0.25">
      <c r="M1200" s="19"/>
    </row>
    <row r="1201" spans="13:13" x14ac:dyDescent="0.25">
      <c r="M1201" s="19"/>
    </row>
    <row r="1202" spans="13:13" x14ac:dyDescent="0.25">
      <c r="M1202" s="19"/>
    </row>
    <row r="1203" spans="13:13" x14ac:dyDescent="0.25">
      <c r="M1203" s="19"/>
    </row>
    <row r="1204" spans="13:13" x14ac:dyDescent="0.25">
      <c r="M1204" s="19"/>
    </row>
    <row r="1205" spans="13:13" x14ac:dyDescent="0.25">
      <c r="M1205" s="19"/>
    </row>
    <row r="1206" spans="13:13" x14ac:dyDescent="0.25">
      <c r="M1206" s="19"/>
    </row>
    <row r="1207" spans="13:13" x14ac:dyDescent="0.25">
      <c r="M1207" s="19"/>
    </row>
    <row r="1208" spans="13:13" x14ac:dyDescent="0.25">
      <c r="M1208" s="19"/>
    </row>
    <row r="1209" spans="13:13" x14ac:dyDescent="0.25">
      <c r="M1209" s="19"/>
    </row>
    <row r="1210" spans="13:13" x14ac:dyDescent="0.25">
      <c r="M1210" s="19"/>
    </row>
    <row r="1211" spans="13:13" x14ac:dyDescent="0.25">
      <c r="M1211" s="19"/>
    </row>
    <row r="1212" spans="13:13" x14ac:dyDescent="0.25">
      <c r="M1212" s="19"/>
    </row>
    <row r="1213" spans="13:13" x14ac:dyDescent="0.25">
      <c r="M1213" s="19"/>
    </row>
    <row r="1214" spans="13:13" x14ac:dyDescent="0.25">
      <c r="M1214" s="19"/>
    </row>
    <row r="1215" spans="13:13" x14ac:dyDescent="0.25">
      <c r="M1215" s="19"/>
    </row>
    <row r="1216" spans="13:13" x14ac:dyDescent="0.25">
      <c r="M1216" s="19"/>
    </row>
    <row r="1217" spans="13:13" x14ac:dyDescent="0.25">
      <c r="M1217" s="19"/>
    </row>
    <row r="1218" spans="13:13" x14ac:dyDescent="0.25">
      <c r="M1218" s="19"/>
    </row>
    <row r="1219" spans="13:13" x14ac:dyDescent="0.25">
      <c r="M1219" s="19"/>
    </row>
    <row r="1220" spans="13:13" x14ac:dyDescent="0.25">
      <c r="M1220" s="19"/>
    </row>
    <row r="1221" spans="13:13" x14ac:dyDescent="0.25">
      <c r="M1221" s="19"/>
    </row>
    <row r="1222" spans="13:13" x14ac:dyDescent="0.25">
      <c r="M1222" s="19"/>
    </row>
    <row r="1223" spans="13:13" x14ac:dyDescent="0.25">
      <c r="M1223" s="19"/>
    </row>
    <row r="1224" spans="13:13" x14ac:dyDescent="0.25">
      <c r="M1224" s="19"/>
    </row>
    <row r="1225" spans="13:13" x14ac:dyDescent="0.25">
      <c r="M1225" s="19"/>
    </row>
    <row r="1226" spans="13:13" x14ac:dyDescent="0.25">
      <c r="M1226" s="19"/>
    </row>
    <row r="1227" spans="13:13" x14ac:dyDescent="0.25">
      <c r="M1227" s="19"/>
    </row>
    <row r="1228" spans="13:13" x14ac:dyDescent="0.25">
      <c r="M1228" s="19"/>
    </row>
    <row r="1229" spans="13:13" x14ac:dyDescent="0.25">
      <c r="M1229" s="19"/>
    </row>
    <row r="1230" spans="13:13" x14ac:dyDescent="0.25">
      <c r="M1230" s="19"/>
    </row>
    <row r="1231" spans="13:13" x14ac:dyDescent="0.25">
      <c r="M1231" s="19"/>
    </row>
    <row r="1232" spans="13:13" x14ac:dyDescent="0.25">
      <c r="M1232" s="19"/>
    </row>
    <row r="1233" spans="13:13" x14ac:dyDescent="0.25">
      <c r="M1233" s="19"/>
    </row>
    <row r="1234" spans="13:13" x14ac:dyDescent="0.25">
      <c r="M1234" s="19"/>
    </row>
    <row r="1235" spans="13:13" x14ac:dyDescent="0.25">
      <c r="M1235" s="19"/>
    </row>
    <row r="1236" spans="13:13" x14ac:dyDescent="0.25">
      <c r="M1236" s="19"/>
    </row>
    <row r="1237" spans="13:13" x14ac:dyDescent="0.25">
      <c r="M1237" s="19"/>
    </row>
    <row r="1238" spans="13:13" x14ac:dyDescent="0.25">
      <c r="M1238" s="19"/>
    </row>
    <row r="1239" spans="13:13" x14ac:dyDescent="0.25">
      <c r="M1239" s="19"/>
    </row>
    <row r="1240" spans="13:13" x14ac:dyDescent="0.25">
      <c r="M1240" s="19"/>
    </row>
    <row r="1241" spans="13:13" x14ac:dyDescent="0.25">
      <c r="M1241" s="19"/>
    </row>
    <row r="1242" spans="13:13" x14ac:dyDescent="0.25">
      <c r="M1242" s="19"/>
    </row>
    <row r="1243" spans="13:13" x14ac:dyDescent="0.25">
      <c r="M1243" s="19"/>
    </row>
    <row r="1244" spans="13:13" x14ac:dyDescent="0.25">
      <c r="M1244" s="19"/>
    </row>
    <row r="1245" spans="13:13" x14ac:dyDescent="0.25">
      <c r="M1245" s="19"/>
    </row>
    <row r="1246" spans="13:13" x14ac:dyDescent="0.25">
      <c r="M1246" s="19"/>
    </row>
    <row r="1247" spans="13:13" x14ac:dyDescent="0.25">
      <c r="M1247" s="19"/>
    </row>
    <row r="1248" spans="13:13" x14ac:dyDescent="0.25">
      <c r="M1248" s="19"/>
    </row>
    <row r="1249" spans="13:13" x14ac:dyDescent="0.25">
      <c r="M1249" s="19"/>
    </row>
    <row r="1250" spans="13:13" x14ac:dyDescent="0.25">
      <c r="M1250" s="19"/>
    </row>
    <row r="1251" spans="13:13" x14ac:dyDescent="0.25">
      <c r="M1251" s="19"/>
    </row>
    <row r="1252" spans="13:13" x14ac:dyDescent="0.25">
      <c r="M1252" s="19"/>
    </row>
    <row r="1253" spans="13:13" x14ac:dyDescent="0.25">
      <c r="M1253" s="19"/>
    </row>
    <row r="1254" spans="13:13" x14ac:dyDescent="0.25">
      <c r="M1254" s="19"/>
    </row>
    <row r="1255" spans="13:13" x14ac:dyDescent="0.25">
      <c r="M1255" s="19"/>
    </row>
    <row r="1256" spans="13:13" x14ac:dyDescent="0.25">
      <c r="M1256" s="19"/>
    </row>
    <row r="1257" spans="13:13" x14ac:dyDescent="0.25">
      <c r="M1257" s="19"/>
    </row>
    <row r="1258" spans="13:13" x14ac:dyDescent="0.25">
      <c r="M1258" s="19"/>
    </row>
    <row r="1259" spans="13:13" x14ac:dyDescent="0.25">
      <c r="M1259" s="19"/>
    </row>
    <row r="1260" spans="13:13" x14ac:dyDescent="0.25">
      <c r="M1260" s="19"/>
    </row>
    <row r="1261" spans="13:13" x14ac:dyDescent="0.25">
      <c r="M1261" s="19"/>
    </row>
    <row r="1262" spans="13:13" x14ac:dyDescent="0.25">
      <c r="M1262" s="19"/>
    </row>
    <row r="1263" spans="13:13" x14ac:dyDescent="0.25">
      <c r="M1263" s="19"/>
    </row>
    <row r="1264" spans="13:13" x14ac:dyDescent="0.25">
      <c r="M1264" s="19"/>
    </row>
    <row r="1265" spans="13:13" x14ac:dyDescent="0.25">
      <c r="M1265" s="19"/>
    </row>
    <row r="1266" spans="13:13" x14ac:dyDescent="0.25">
      <c r="M1266" s="19"/>
    </row>
    <row r="1267" spans="13:13" x14ac:dyDescent="0.25">
      <c r="M1267" s="19"/>
    </row>
    <row r="1268" spans="13:13" x14ac:dyDescent="0.25">
      <c r="M1268" s="19"/>
    </row>
    <row r="1269" spans="13:13" x14ac:dyDescent="0.25">
      <c r="M1269" s="19"/>
    </row>
    <row r="1270" spans="13:13" x14ac:dyDescent="0.25">
      <c r="M1270" s="19"/>
    </row>
    <row r="1271" spans="13:13" x14ac:dyDescent="0.25">
      <c r="M1271" s="19"/>
    </row>
    <row r="1272" spans="13:13" x14ac:dyDescent="0.25">
      <c r="M1272" s="19"/>
    </row>
    <row r="1273" spans="13:13" x14ac:dyDescent="0.25">
      <c r="M1273" s="19"/>
    </row>
    <row r="1274" spans="13:13" x14ac:dyDescent="0.25">
      <c r="M1274" s="19"/>
    </row>
    <row r="1275" spans="13:13" x14ac:dyDescent="0.25">
      <c r="M1275" s="19"/>
    </row>
    <row r="1276" spans="13:13" x14ac:dyDescent="0.25">
      <c r="M1276" s="19"/>
    </row>
    <row r="1277" spans="13:13" x14ac:dyDescent="0.25">
      <c r="M1277" s="19"/>
    </row>
    <row r="1278" spans="13:13" x14ac:dyDescent="0.25">
      <c r="M1278" s="19"/>
    </row>
    <row r="1279" spans="13:13" x14ac:dyDescent="0.25">
      <c r="M1279" s="19"/>
    </row>
    <row r="1280" spans="13:13" x14ac:dyDescent="0.25">
      <c r="M1280" s="19"/>
    </row>
    <row r="1281" spans="13:13" x14ac:dyDescent="0.25">
      <c r="M1281" s="19"/>
    </row>
    <row r="1282" spans="13:13" x14ac:dyDescent="0.25">
      <c r="M1282" s="19"/>
    </row>
    <row r="1283" spans="13:13" x14ac:dyDescent="0.25">
      <c r="M1283" s="19"/>
    </row>
    <row r="1284" spans="13:13" x14ac:dyDescent="0.25">
      <c r="M1284" s="19"/>
    </row>
    <row r="1285" spans="13:13" x14ac:dyDescent="0.25">
      <c r="M1285" s="19"/>
    </row>
    <row r="1286" spans="13:13" x14ac:dyDescent="0.25">
      <c r="M1286" s="19"/>
    </row>
    <row r="1287" spans="13:13" x14ac:dyDescent="0.25">
      <c r="M1287" s="19"/>
    </row>
    <row r="1288" spans="13:13" x14ac:dyDescent="0.25">
      <c r="M1288" s="19"/>
    </row>
    <row r="1289" spans="13:13" x14ac:dyDescent="0.25">
      <c r="M1289" s="19"/>
    </row>
    <row r="1290" spans="13:13" x14ac:dyDescent="0.25">
      <c r="M1290" s="19"/>
    </row>
    <row r="1291" spans="13:13" x14ac:dyDescent="0.25">
      <c r="M1291" s="19"/>
    </row>
    <row r="1292" spans="13:13" x14ac:dyDescent="0.25">
      <c r="M1292" s="19"/>
    </row>
    <row r="1293" spans="13:13" x14ac:dyDescent="0.25">
      <c r="M1293" s="19"/>
    </row>
    <row r="1294" spans="13:13" x14ac:dyDescent="0.25">
      <c r="M1294" s="19"/>
    </row>
    <row r="1295" spans="13:13" x14ac:dyDescent="0.25">
      <c r="M1295" s="19"/>
    </row>
    <row r="1296" spans="13:13" x14ac:dyDescent="0.25">
      <c r="M1296" s="19"/>
    </row>
    <row r="1297" spans="13:13" x14ac:dyDescent="0.25">
      <c r="M1297" s="19"/>
    </row>
    <row r="1298" spans="13:13" x14ac:dyDescent="0.25">
      <c r="M1298" s="19"/>
    </row>
    <row r="1299" spans="13:13" x14ac:dyDescent="0.25">
      <c r="M1299" s="19"/>
    </row>
    <row r="1300" spans="13:13" x14ac:dyDescent="0.25">
      <c r="M1300" s="19"/>
    </row>
    <row r="1301" spans="13:13" x14ac:dyDescent="0.25">
      <c r="M1301" s="19"/>
    </row>
    <row r="1302" spans="13:13" x14ac:dyDescent="0.25">
      <c r="M1302" s="19"/>
    </row>
    <row r="1303" spans="13:13" x14ac:dyDescent="0.25">
      <c r="M1303" s="19"/>
    </row>
    <row r="1304" spans="13:13" x14ac:dyDescent="0.25">
      <c r="M1304" s="19"/>
    </row>
    <row r="1305" spans="13:13" x14ac:dyDescent="0.25">
      <c r="M1305" s="19"/>
    </row>
    <row r="1306" spans="13:13" x14ac:dyDescent="0.25">
      <c r="M1306" s="19"/>
    </row>
    <row r="1307" spans="13:13" x14ac:dyDescent="0.25">
      <c r="M1307" s="19"/>
    </row>
    <row r="1308" spans="13:13" x14ac:dyDescent="0.25">
      <c r="M1308" s="19"/>
    </row>
    <row r="1309" spans="13:13" x14ac:dyDescent="0.25">
      <c r="M1309" s="19"/>
    </row>
    <row r="1310" spans="13:13" x14ac:dyDescent="0.25">
      <c r="M1310" s="19"/>
    </row>
    <row r="1311" spans="13:13" x14ac:dyDescent="0.25">
      <c r="M1311" s="19"/>
    </row>
    <row r="1312" spans="13:13" x14ac:dyDescent="0.25">
      <c r="M1312" s="19"/>
    </row>
    <row r="1313" spans="13:13" x14ac:dyDescent="0.25">
      <c r="M1313" s="19"/>
    </row>
    <row r="1314" spans="13:13" x14ac:dyDescent="0.25">
      <c r="M1314" s="19"/>
    </row>
    <row r="1315" spans="13:13" x14ac:dyDescent="0.25">
      <c r="M1315" s="19"/>
    </row>
    <row r="1316" spans="13:13" x14ac:dyDescent="0.25">
      <c r="M1316" s="19"/>
    </row>
    <row r="1317" spans="13:13" x14ac:dyDescent="0.25">
      <c r="M1317" s="19"/>
    </row>
    <row r="1318" spans="13:13" x14ac:dyDescent="0.25">
      <c r="M1318" s="19"/>
    </row>
    <row r="1319" spans="13:13" x14ac:dyDescent="0.25">
      <c r="M1319" s="19"/>
    </row>
    <row r="1320" spans="13:13" x14ac:dyDescent="0.25">
      <c r="M1320" s="19"/>
    </row>
    <row r="1321" spans="13:13" x14ac:dyDescent="0.25">
      <c r="M1321" s="19"/>
    </row>
    <row r="1322" spans="13:13" x14ac:dyDescent="0.25">
      <c r="M1322" s="19"/>
    </row>
    <row r="1323" spans="13:13" x14ac:dyDescent="0.25">
      <c r="M1323" s="19"/>
    </row>
    <row r="1324" spans="13:13" x14ac:dyDescent="0.25">
      <c r="M1324" s="19"/>
    </row>
    <row r="1325" spans="13:13" x14ac:dyDescent="0.25">
      <c r="M1325" s="19"/>
    </row>
    <row r="1326" spans="13:13" x14ac:dyDescent="0.25">
      <c r="M1326" s="19"/>
    </row>
    <row r="1327" spans="13:13" x14ac:dyDescent="0.25">
      <c r="M1327" s="19"/>
    </row>
    <row r="1328" spans="13:13" x14ac:dyDescent="0.25">
      <c r="M1328" s="19"/>
    </row>
    <row r="1329" spans="13:13" x14ac:dyDescent="0.25">
      <c r="M1329" s="19"/>
    </row>
    <row r="1330" spans="13:13" x14ac:dyDescent="0.25">
      <c r="M1330" s="19"/>
    </row>
    <row r="1331" spans="13:13" x14ac:dyDescent="0.25">
      <c r="M1331" s="19"/>
    </row>
    <row r="1332" spans="13:13" x14ac:dyDescent="0.25">
      <c r="M1332" s="19"/>
    </row>
    <row r="1333" spans="13:13" x14ac:dyDescent="0.25">
      <c r="M1333" s="19"/>
    </row>
    <row r="1334" spans="13:13" x14ac:dyDescent="0.25">
      <c r="M1334" s="19"/>
    </row>
    <row r="1335" spans="13:13" x14ac:dyDescent="0.25">
      <c r="M1335" s="19"/>
    </row>
  </sheetData>
  <autoFilter ref="A17:O146">
    <filterColumn colId="1" showButton="0"/>
    <filterColumn colId="11" showButton="0"/>
  </autoFilter>
  <sortState ref="A18:J22">
    <sortCondition ref="A22"/>
  </sortState>
  <mergeCells count="2">
    <mergeCell ref="B17:C17"/>
    <mergeCell ref="L17:M17"/>
  </mergeCells>
  <pageMargins left="0.7" right="0.7" top="0.78740157499999996" bottom="0.78740157499999996" header="0.3" footer="0.3"/>
  <pageSetup paperSize="9"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6" baseType="variant">
      <vt:variant>
        <vt:lpstr>Arbeitsblätter</vt:lpstr>
      </vt:variant>
      <vt:variant>
        <vt:i4>11</vt:i4>
      </vt:variant>
      <vt:variant>
        <vt:lpstr>Diagramme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13" baseType="lpstr">
      <vt:lpstr>Info</vt:lpstr>
      <vt:lpstr>E</vt:lpstr>
      <vt:lpstr>Buchungsplan</vt:lpstr>
      <vt:lpstr>HÜL</vt:lpstr>
      <vt:lpstr>Einn._Liste</vt:lpstr>
      <vt:lpstr>Ausg._Liste</vt:lpstr>
      <vt:lpstr>Einnahmen</vt:lpstr>
      <vt:lpstr>Ausgaben</vt:lpstr>
      <vt:lpstr>Feste Ausgaben</vt:lpstr>
      <vt:lpstr>Veränderliche Ausgaben</vt:lpstr>
      <vt:lpstr>Kreditkartenausgaben</vt:lpstr>
      <vt:lpstr>HÜL_Diagr</vt:lpstr>
      <vt:lpstr>Buchungsplan!Drucktitel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Werner Luck</dc:creator>
  <cp:lastModifiedBy>Werner Luck</cp:lastModifiedBy>
  <cp:lastPrinted>2019-01-16T13:27:50Z</cp:lastPrinted>
  <dcterms:created xsi:type="dcterms:W3CDTF">2017-10-04T07:45:19Z</dcterms:created>
  <dcterms:modified xsi:type="dcterms:W3CDTF">2019-04-24T12:57:56Z</dcterms:modified>
</cp:coreProperties>
</file>